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505" yWindow="-15" windowWidth="14310" windowHeight="12690" activeTab="1"/>
  </bookViews>
  <sheets>
    <sheet name="Intro" sheetId="5" r:id="rId1"/>
    <sheet name="Design Equations CCM" sheetId="3" r:id="rId2"/>
    <sheet name="Small Signal" sheetId="4" r:id="rId3"/>
    <sheet name="Output Voltage Accuracy" sheetId="13" state="hidden" r:id="rId4"/>
    <sheet name="partdata" sheetId="10" state="hidden" r:id="rId5"/>
    <sheet name="Std. R and C Values" sheetId="12" state="hidden" r:id="rId6"/>
    <sheet name="Revision Notes" sheetId="14" state="hidden" r:id="rId7"/>
  </sheets>
  <definedNames>
    <definedName name="C_f1">'Std. R and C Values'!$K$18</definedName>
    <definedName name="C_f2">'Std. R and C Values'!$K$25</definedName>
    <definedName name="c_s1">'Std. R and C Values'!$J$7</definedName>
    <definedName name="C_s2">'Std. R and C Values'!$J$20</definedName>
    <definedName name="Cc_ss">'Small Signal'!$B$8</definedName>
    <definedName name="Ccomp">'Design Equations CCM'!$B$135*10^-9</definedName>
    <definedName name="Ce">'Small Signal'!$B$90</definedName>
    <definedName name="Cff">'Design Equations CCM'!$B$141*10^-12</definedName>
    <definedName name="Cff_ss">'Small Signal'!$B$10</definedName>
    <definedName name="Cin">'Design Equations CCM'!$B$88*10^-6</definedName>
    <definedName name="Co">'Design Equations CCM'!$B$78*10^-6</definedName>
    <definedName name="Co_2">'Design Equations CCM'!$B$81*0.000001</definedName>
    <definedName name="Co_derating">'Design Equations CCM'!$B$76</definedName>
    <definedName name="Co_selected">'Design Equations CCM'!$B$77</definedName>
    <definedName name="Co_ss">'Small Signal'!$B$14</definedName>
    <definedName name="Co2_ss">'Small Signal'!$B$16</definedName>
    <definedName name="Coea">'Design Equations CCM'!$B$169*10^-6</definedName>
    <definedName name="Cp_ss">'Small Signal'!$B$9</definedName>
    <definedName name="Cpole">'Design Equations CCM'!$B$139*10^-12</definedName>
    <definedName name="Css">'Design Equations CCM'!$B$118*10^-9</definedName>
    <definedName name="dI">'Design Equations CCM'!$B$13</definedName>
    <definedName name="dV">'Design Equations CCM'!$B$12</definedName>
    <definedName name="dV_percent">'Design Equations CCM'!$B$11</definedName>
    <definedName name="E12_f">'Std. R and C Values'!$F$22</definedName>
    <definedName name="E12_s">'Std. R and C Values'!$E$11</definedName>
    <definedName name="E24_f">'Std. R and C Values'!$F$47</definedName>
    <definedName name="E24_s">'Std. R and C Values'!$E$24</definedName>
    <definedName name="E48_f">'Std. R and C Values'!$F$96</definedName>
    <definedName name="E48_s">'Std. R and C Values'!$E$49</definedName>
    <definedName name="E6_f">'Std. R and C Values'!$F$9</definedName>
    <definedName name="E6_s">'Std. R and C Values'!$E$4</definedName>
    <definedName name="E96_f">'Std. R and C Values'!$H$99</definedName>
    <definedName name="E96_s">'Std. R and C Values'!$G$4</definedName>
    <definedName name="ESR">'Design Equations CCM'!$B$80</definedName>
    <definedName name="ESR_2">'Design Equations CCM'!$B$82</definedName>
    <definedName name="ESR_ss">'Small Signal'!$B$15</definedName>
    <definedName name="ESR2_ss">'Small Signal'!$B$17</definedName>
    <definedName name="FCCM">'Small Signal'!$B$50</definedName>
    <definedName name="fco">'Design Equations CCM'!$B$129*10^3</definedName>
    <definedName name="fco_est">'Design Equations CCM'!$B$72*10^3</definedName>
    <definedName name="fm">'Small Signal'!$B$63</definedName>
    <definedName name="fp_cff">'Small Signal'!$C$30</definedName>
    <definedName name="fpole">'Design Equations CCM'!$B$124*1000</definedName>
    <definedName name="fsw">'Design Equations CCM'!$B$50*10^3</definedName>
    <definedName name="fsw_max">'Design Equations CCM'!$B$170*1000</definedName>
    <definedName name="fsw_min">'Design Equations CCM'!$B$171*10^3</definedName>
    <definedName name="fsw_ss">'Small Signal'!$B$11</definedName>
    <definedName name="fz_cff">'Small Signal'!$C$29</definedName>
    <definedName name="fzero">'Design Equations CCM'!$B$125*1000</definedName>
    <definedName name="gmea">'Design Equations CCM'!$B$161*10^-6</definedName>
    <definedName name="gmps">'Design Equations CCM'!$B$162</definedName>
    <definedName name="I_1">'Design Equations CCM'!$B$165*10^-6</definedName>
    <definedName name="Ihys">'Design Equations CCM'!$B$166*10^-6</definedName>
    <definedName name="Ilim">'Design Equations CCM'!$B$172</definedName>
    <definedName name="Ilim_rev">'Design Equations CCM'!$B$173</definedName>
    <definedName name="Io_dev">'Design Equations CCM'!$B$160</definedName>
    <definedName name="Io_ss">'Small Signal'!$B$4</definedName>
    <definedName name="Iout">'Design Equations CCM'!$B$14</definedName>
    <definedName name="Iout_min">'Design Equations CCM'!$B$15</definedName>
    <definedName name="Iq">'Design Equations CCM'!$B$174*10^-6</definedName>
    <definedName name="Iripple">'Design Equations CCM'!$B$64</definedName>
    <definedName name="Iss">'Design Equations CCM'!$B$178*10^-6</definedName>
    <definedName name="k_2">'Small Signal'!$B$83</definedName>
    <definedName name="Kind">'Design Equations CCM'!$B$59</definedName>
    <definedName name="L">'Design Equations CCM'!$B$62*10^-6</definedName>
    <definedName name="Lo_ss">'Small Signal'!$B$12</definedName>
    <definedName name="mc">'Small Signal'!$B$81</definedName>
    <definedName name="_xlnm.Print_Area" localSheetId="5">'Std. R and C Values'!$A$2:$I$46</definedName>
    <definedName name="q_2">'Small Signal'!$B$86</definedName>
    <definedName name="q_2_vimax">'Small Signal'!$C$86</definedName>
    <definedName name="qp">'Small Signal'!#REF!</definedName>
    <definedName name="Rc_ss">'Small Signal'!$B$7</definedName>
    <definedName name="Rcomp">'Design Equations CCM'!$B$132*1000</definedName>
    <definedName name="Rdc">'Design Equations CCM'!$B$63*10^-3</definedName>
    <definedName name="Rdc_ss">'Small Signal'!$B$13</definedName>
    <definedName name="Rdson_hs">'Design Equations CCM'!$B$176*10^-3</definedName>
    <definedName name="Rdson_ls">'Design Equations CCM'!$B$177*10^-3</definedName>
    <definedName name="Re">'Small Signal'!$B$89</definedName>
    <definedName name="Re_vimax">'Small Signal'!$C$89</definedName>
    <definedName name="Rhs">'Design Equations CCM'!$B$112*1000</definedName>
    <definedName name="Rhs_ss">'Small Signal'!$B$5</definedName>
    <definedName name="Ri">'Small Signal'!$B$54</definedName>
    <definedName name="Rls">'Design Equations CCM'!$B$110*1000</definedName>
    <definedName name="Rls_ss">'Small Signal'!$B$6</definedName>
    <definedName name="Ro">'Small Signal'!$B$39</definedName>
    <definedName name="Rt">'Design Equations CCM'!$B$52*10^3</definedName>
    <definedName name="Ruvlo1">'Design Equations CCM'!$B$93*10^3</definedName>
    <definedName name="Ruvlo2">'Design Equations CCM'!$B$95*10^3</definedName>
    <definedName name="Se">'Design Equations CCM'!$B$163</definedName>
    <definedName name="Se_ss">'Small Signal'!$B$55</definedName>
    <definedName name="Sf">'Small Signal'!$B$65</definedName>
    <definedName name="Sn">'Small Signal'!$B$64</definedName>
    <definedName name="sn_vimax">'Small Signal'!$C$64</definedName>
    <definedName name="ton_min">'Design Equations CCM'!$B$175*10^-9</definedName>
    <definedName name="tss">'Design Equations CCM'!$B$116*10^-3</definedName>
    <definedName name="Vena_start">'Design Equations CCM'!$B$167</definedName>
    <definedName name="Vena_stop">'Design Equations CCM'!$B$168</definedName>
    <definedName name="Vi_ss">'Small Signal'!$B$2</definedName>
    <definedName name="Vin_max">'Design Equations CCM'!$B$7</definedName>
    <definedName name="Vin_min">'Design Equations CCM'!$B$8</definedName>
    <definedName name="Vin_nom">'Design Equations CCM'!$B$6</definedName>
    <definedName name="Vinripple">'Design Equations CCM'!$B$86*10^-3</definedName>
    <definedName name="Vmax_dev">'Design Equations CCM'!$B$159</definedName>
    <definedName name="Vmin_dev">'Design Equations CCM'!$B$158</definedName>
    <definedName name="Vo_ss">'Small Signal'!$B$3</definedName>
    <definedName name="Vout">'Design Equations CCM'!$B$9</definedName>
    <definedName name="Vref">'Design Equations CCM'!$B$164</definedName>
    <definedName name="Vripple">'Design Equations CCM'!$B$10</definedName>
    <definedName name="Vstart">'Design Equations CCM'!$B$16</definedName>
    <definedName name="Vstop">'Design Equations CCM'!$B$17</definedName>
    <definedName name="w_2">'Small Signal'!$B$87</definedName>
    <definedName name="wn">'Small Signal'!#REF!</definedName>
    <definedName name="wp">'Small Signal'!$B$82</definedName>
  </definedNames>
  <calcPr calcId="145621"/>
</workbook>
</file>

<file path=xl/calcChain.xml><?xml version="1.0" encoding="utf-8"?>
<calcChain xmlns="http://schemas.openxmlformats.org/spreadsheetml/2006/main">
  <c r="E22" i="3" l="1"/>
  <c r="J10" i="10"/>
  <c r="B77" i="3" l="1"/>
  <c r="B82" i="3" l="1"/>
  <c r="B50" i="3" l="1"/>
  <c r="AA10" i="10" s="1"/>
  <c r="B173" i="3" l="1"/>
  <c r="E21" i="3" l="1"/>
  <c r="O14" i="10"/>
  <c r="B7" i="3" l="1"/>
  <c r="B8" i="3"/>
  <c r="AA14" i="10" l="1"/>
  <c r="E20" i="3"/>
  <c r="I17" i="10"/>
  <c r="B13" i="3" l="1"/>
  <c r="E12" i="3" l="1"/>
  <c r="E13" i="3"/>
  <c r="E14" i="3"/>
  <c r="E15" i="3"/>
  <c r="E16" i="3"/>
  <c r="E17" i="3"/>
  <c r="E18" i="3"/>
  <c r="E19" i="3"/>
  <c r="E11" i="3"/>
  <c r="I8" i="10" l="1"/>
  <c r="I16" i="10"/>
  <c r="B86" i="3" l="1"/>
  <c r="B101" i="3"/>
  <c r="B103" i="3"/>
  <c r="B105" i="3"/>
  <c r="B106" i="3"/>
  <c r="B107" i="3"/>
  <c r="B148" i="3"/>
  <c r="B155" i="3"/>
  <c r="B158" i="3"/>
  <c r="B159" i="3"/>
  <c r="B160" i="3"/>
  <c r="B161" i="3"/>
  <c r="B162" i="3"/>
  <c r="B163" i="3"/>
  <c r="B164" i="3"/>
  <c r="B165" i="3"/>
  <c r="B166" i="3"/>
  <c r="B167" i="3"/>
  <c r="B168" i="3"/>
  <c r="B169" i="3"/>
  <c r="B170" i="3"/>
  <c r="B171" i="3"/>
  <c r="B172" i="3"/>
  <c r="B174" i="3"/>
  <c r="B151" i="3" s="1"/>
  <c r="B175" i="3"/>
  <c r="B49" i="3" s="1"/>
  <c r="B176" i="3"/>
  <c r="B177" i="3"/>
  <c r="B178" i="3"/>
  <c r="C17" i="4"/>
  <c r="B17" i="4" s="1"/>
  <c r="C16" i="4"/>
  <c r="B16" i="4" s="1"/>
  <c r="C25" i="4" l="1"/>
  <c r="B55" i="3"/>
  <c r="B54" i="3"/>
  <c r="B117" i="3"/>
  <c r="B92" i="3"/>
  <c r="B111" i="3"/>
  <c r="B85" i="3"/>
  <c r="O7" i="10" l="1"/>
  <c r="B53" i="4" l="1"/>
  <c r="B50" i="4"/>
  <c r="B54" i="4"/>
  <c r="E8" i="3" l="1"/>
  <c r="E9" i="3"/>
  <c r="E10" i="3"/>
  <c r="D33" i="4" l="1"/>
  <c r="D32" i="4"/>
  <c r="C15" i="13" l="1"/>
  <c r="B15" i="13" s="1"/>
  <c r="B6" i="13" l="1"/>
  <c r="C7" i="13" l="1"/>
  <c r="B7" i="13"/>
  <c r="B2" i="13"/>
  <c r="D6" i="13"/>
  <c r="E7" i="13" l="1"/>
  <c r="D7" i="13"/>
  <c r="E6" i="13"/>
  <c r="J6" i="10" l="1"/>
  <c r="B12" i="3" l="1"/>
  <c r="B10" i="3"/>
  <c r="C15" i="4" l="1"/>
  <c r="B15" i="4" s="1"/>
  <c r="C148" i="3"/>
  <c r="K4" i="12"/>
  <c r="B78" i="3"/>
  <c r="C2" i="4"/>
  <c r="B2" i="4" s="1"/>
  <c r="O5" i="10"/>
  <c r="O9" i="10"/>
  <c r="L7" i="12"/>
  <c r="L2" i="4"/>
  <c r="L3" i="4"/>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C4" i="4"/>
  <c r="B4" i="4" s="1"/>
  <c r="C13" i="4"/>
  <c r="B13" i="4" s="1"/>
  <c r="C6" i="4"/>
  <c r="B6" i="4" s="1"/>
  <c r="C110" i="3"/>
  <c r="B51" i="4"/>
  <c r="L20" i="12"/>
  <c r="C9" i="12"/>
  <c r="C8" i="12"/>
  <c r="C7" i="12"/>
  <c r="C6" i="12"/>
  <c r="C5" i="12"/>
  <c r="B47" i="4"/>
  <c r="C3" i="4"/>
  <c r="B3" i="4" s="1"/>
  <c r="B48" i="4"/>
  <c r="D148" i="3"/>
  <c r="M211" i="4" l="1"/>
  <c r="AK211" i="4" s="1"/>
  <c r="M207" i="4"/>
  <c r="AK207" i="4" s="1"/>
  <c r="M203" i="4"/>
  <c r="AK203" i="4" s="1"/>
  <c r="M199" i="4"/>
  <c r="AK199" i="4" s="1"/>
  <c r="M195" i="4"/>
  <c r="AK195" i="4" s="1"/>
  <c r="M191" i="4"/>
  <c r="AK191" i="4" s="1"/>
  <c r="M187" i="4"/>
  <c r="AK187" i="4" s="1"/>
  <c r="M183" i="4"/>
  <c r="AK183" i="4" s="1"/>
  <c r="M179" i="4"/>
  <c r="AK179" i="4" s="1"/>
  <c r="M175" i="4"/>
  <c r="AK175" i="4" s="1"/>
  <c r="M171" i="4"/>
  <c r="AK171" i="4" s="1"/>
  <c r="M167" i="4"/>
  <c r="AK167" i="4" s="1"/>
  <c r="M163" i="4"/>
  <c r="AK163" i="4" s="1"/>
  <c r="M159" i="4"/>
  <c r="AK159" i="4" s="1"/>
  <c r="M155" i="4"/>
  <c r="AK155" i="4" s="1"/>
  <c r="M151" i="4"/>
  <c r="AK151" i="4" s="1"/>
  <c r="M147" i="4"/>
  <c r="AK147" i="4" s="1"/>
  <c r="M143" i="4"/>
  <c r="AK143" i="4" s="1"/>
  <c r="M139" i="4"/>
  <c r="AK139" i="4" s="1"/>
  <c r="M135" i="4"/>
  <c r="AK135" i="4" s="1"/>
  <c r="M131" i="4"/>
  <c r="AK131" i="4" s="1"/>
  <c r="M127" i="4"/>
  <c r="AK127" i="4" s="1"/>
  <c r="M123" i="4"/>
  <c r="AK123" i="4" s="1"/>
  <c r="M119" i="4"/>
  <c r="AK119" i="4" s="1"/>
  <c r="M115" i="4"/>
  <c r="AK115" i="4" s="1"/>
  <c r="M111" i="4"/>
  <c r="AK111" i="4" s="1"/>
  <c r="M107" i="4"/>
  <c r="AK107" i="4" s="1"/>
  <c r="M103" i="4"/>
  <c r="AK103" i="4" s="1"/>
  <c r="M99" i="4"/>
  <c r="AK99" i="4" s="1"/>
  <c r="M95" i="4"/>
  <c r="AK95" i="4" s="1"/>
  <c r="M91" i="4"/>
  <c r="AK91" i="4" s="1"/>
  <c r="M87" i="4"/>
  <c r="AK87" i="4" s="1"/>
  <c r="M83" i="4"/>
  <c r="AK83" i="4" s="1"/>
  <c r="M79" i="4"/>
  <c r="AK79" i="4" s="1"/>
  <c r="M75" i="4"/>
  <c r="AK75" i="4" s="1"/>
  <c r="M71" i="4"/>
  <c r="AK71" i="4" s="1"/>
  <c r="M67" i="4"/>
  <c r="AK67" i="4" s="1"/>
  <c r="M63" i="4"/>
  <c r="AK63" i="4" s="1"/>
  <c r="M59" i="4"/>
  <c r="AK59" i="4" s="1"/>
  <c r="M55" i="4"/>
  <c r="AK55" i="4" s="1"/>
  <c r="M51" i="4"/>
  <c r="AK51" i="4" s="1"/>
  <c r="M47" i="4"/>
  <c r="AK47" i="4" s="1"/>
  <c r="M43" i="4"/>
  <c r="AK43" i="4" s="1"/>
  <c r="M39" i="4"/>
  <c r="AK39" i="4" s="1"/>
  <c r="M35" i="4"/>
  <c r="AK35" i="4" s="1"/>
  <c r="M31" i="4"/>
  <c r="AK31" i="4" s="1"/>
  <c r="M27" i="4"/>
  <c r="AK27" i="4" s="1"/>
  <c r="M23" i="4"/>
  <c r="AK23" i="4" s="1"/>
  <c r="M19" i="4"/>
  <c r="AK19" i="4" s="1"/>
  <c r="M15" i="4"/>
  <c r="AK15" i="4" s="1"/>
  <c r="M11" i="4"/>
  <c r="AK11" i="4" s="1"/>
  <c r="M7" i="4"/>
  <c r="AK7" i="4" s="1"/>
  <c r="M3" i="4"/>
  <c r="AK3" i="4" s="1"/>
  <c r="M210" i="4"/>
  <c r="AK210" i="4" s="1"/>
  <c r="M206" i="4"/>
  <c r="AK206" i="4" s="1"/>
  <c r="M202" i="4"/>
  <c r="AK202" i="4" s="1"/>
  <c r="M198" i="4"/>
  <c r="AK198" i="4" s="1"/>
  <c r="M194" i="4"/>
  <c r="AK194" i="4" s="1"/>
  <c r="M190" i="4"/>
  <c r="AK190" i="4" s="1"/>
  <c r="M186" i="4"/>
  <c r="AK186" i="4" s="1"/>
  <c r="M182" i="4"/>
  <c r="AK182" i="4" s="1"/>
  <c r="M178" i="4"/>
  <c r="AK178" i="4" s="1"/>
  <c r="M174" i="4"/>
  <c r="AK174" i="4" s="1"/>
  <c r="M170" i="4"/>
  <c r="AK170" i="4" s="1"/>
  <c r="M166" i="4"/>
  <c r="AK166" i="4" s="1"/>
  <c r="M162" i="4"/>
  <c r="AK162" i="4" s="1"/>
  <c r="M158" i="4"/>
  <c r="AK158" i="4" s="1"/>
  <c r="M154" i="4"/>
  <c r="AK154" i="4" s="1"/>
  <c r="M150" i="4"/>
  <c r="AK150" i="4" s="1"/>
  <c r="M146" i="4"/>
  <c r="AK146" i="4" s="1"/>
  <c r="M142" i="4"/>
  <c r="AK142" i="4" s="1"/>
  <c r="M138" i="4"/>
  <c r="AK138" i="4" s="1"/>
  <c r="M134" i="4"/>
  <c r="AK134" i="4" s="1"/>
  <c r="M130" i="4"/>
  <c r="AK130" i="4" s="1"/>
  <c r="M126" i="4"/>
  <c r="AK126" i="4" s="1"/>
  <c r="M122" i="4"/>
  <c r="AK122" i="4" s="1"/>
  <c r="M118" i="4"/>
  <c r="AK118" i="4" s="1"/>
  <c r="M114" i="4"/>
  <c r="AK114" i="4" s="1"/>
  <c r="M110" i="4"/>
  <c r="AK110" i="4" s="1"/>
  <c r="M106" i="4"/>
  <c r="AK106" i="4" s="1"/>
  <c r="M102" i="4"/>
  <c r="AK102" i="4" s="1"/>
  <c r="M98" i="4"/>
  <c r="AK98" i="4" s="1"/>
  <c r="M94" i="4"/>
  <c r="AK94" i="4" s="1"/>
  <c r="M90" i="4"/>
  <c r="AK90" i="4" s="1"/>
  <c r="M86" i="4"/>
  <c r="AK86" i="4" s="1"/>
  <c r="M82" i="4"/>
  <c r="AK82" i="4" s="1"/>
  <c r="M78" i="4"/>
  <c r="AK78" i="4" s="1"/>
  <c r="M74" i="4"/>
  <c r="AK74" i="4" s="1"/>
  <c r="M70" i="4"/>
  <c r="AK70" i="4" s="1"/>
  <c r="M66" i="4"/>
  <c r="AK66" i="4" s="1"/>
  <c r="M62" i="4"/>
  <c r="AK62" i="4" s="1"/>
  <c r="M58" i="4"/>
  <c r="AK58" i="4" s="1"/>
  <c r="M54" i="4"/>
  <c r="AK54" i="4" s="1"/>
  <c r="M50" i="4"/>
  <c r="AK50" i="4" s="1"/>
  <c r="M46" i="4"/>
  <c r="AK46" i="4" s="1"/>
  <c r="M42" i="4"/>
  <c r="AK42" i="4" s="1"/>
  <c r="M38" i="4"/>
  <c r="AK38" i="4" s="1"/>
  <c r="M34" i="4"/>
  <c r="AK34" i="4" s="1"/>
  <c r="M30" i="4"/>
  <c r="AK30" i="4" s="1"/>
  <c r="M26" i="4"/>
  <c r="AK26" i="4" s="1"/>
  <c r="M22" i="4"/>
  <c r="AK22" i="4" s="1"/>
  <c r="M18" i="4"/>
  <c r="AK18" i="4" s="1"/>
  <c r="M14" i="4"/>
  <c r="AK14" i="4" s="1"/>
  <c r="M10" i="4"/>
  <c r="AK10" i="4" s="1"/>
  <c r="M6" i="4"/>
  <c r="AK6" i="4" s="1"/>
  <c r="M2" i="4"/>
  <c r="AK2" i="4" s="1"/>
  <c r="M209" i="4"/>
  <c r="AK209" i="4" s="1"/>
  <c r="M205" i="4"/>
  <c r="AK205" i="4" s="1"/>
  <c r="M201" i="4"/>
  <c r="AK201" i="4" s="1"/>
  <c r="M197" i="4"/>
  <c r="AK197" i="4" s="1"/>
  <c r="M193" i="4"/>
  <c r="AK193" i="4" s="1"/>
  <c r="M189" i="4"/>
  <c r="AK189" i="4" s="1"/>
  <c r="M185" i="4"/>
  <c r="AK185" i="4" s="1"/>
  <c r="M181" i="4"/>
  <c r="AK181" i="4" s="1"/>
  <c r="M177" i="4"/>
  <c r="AK177" i="4" s="1"/>
  <c r="M173" i="4"/>
  <c r="AK173" i="4" s="1"/>
  <c r="M169" i="4"/>
  <c r="AK169" i="4" s="1"/>
  <c r="M165" i="4"/>
  <c r="AK165" i="4" s="1"/>
  <c r="M161" i="4"/>
  <c r="AK161" i="4" s="1"/>
  <c r="M157" i="4"/>
  <c r="AK157" i="4" s="1"/>
  <c r="M153" i="4"/>
  <c r="AK153" i="4" s="1"/>
  <c r="M149" i="4"/>
  <c r="AK149" i="4" s="1"/>
  <c r="M145" i="4"/>
  <c r="AK145" i="4" s="1"/>
  <c r="M141" i="4"/>
  <c r="AK141" i="4" s="1"/>
  <c r="M137" i="4"/>
  <c r="AK137" i="4" s="1"/>
  <c r="M133" i="4"/>
  <c r="AK133" i="4" s="1"/>
  <c r="M129" i="4"/>
  <c r="AK129" i="4" s="1"/>
  <c r="M125" i="4"/>
  <c r="AK125" i="4" s="1"/>
  <c r="M121" i="4"/>
  <c r="AK121" i="4" s="1"/>
  <c r="M117" i="4"/>
  <c r="AK117" i="4" s="1"/>
  <c r="M113" i="4"/>
  <c r="AK113" i="4" s="1"/>
  <c r="M109" i="4"/>
  <c r="AK109" i="4" s="1"/>
  <c r="M105" i="4"/>
  <c r="AK105" i="4" s="1"/>
  <c r="M101" i="4"/>
  <c r="AK101" i="4" s="1"/>
  <c r="M97" i="4"/>
  <c r="AK97" i="4" s="1"/>
  <c r="M93" i="4"/>
  <c r="AK93" i="4" s="1"/>
  <c r="M89" i="4"/>
  <c r="AK89" i="4" s="1"/>
  <c r="M85" i="4"/>
  <c r="AK85" i="4" s="1"/>
  <c r="M81" i="4"/>
  <c r="AK81" i="4" s="1"/>
  <c r="M77" i="4"/>
  <c r="AK77" i="4" s="1"/>
  <c r="M73" i="4"/>
  <c r="AK73" i="4" s="1"/>
  <c r="M69" i="4"/>
  <c r="AK69" i="4" s="1"/>
  <c r="M65" i="4"/>
  <c r="AK65" i="4" s="1"/>
  <c r="M61" i="4"/>
  <c r="AK61" i="4" s="1"/>
  <c r="M57" i="4"/>
  <c r="AK57" i="4" s="1"/>
  <c r="M53" i="4"/>
  <c r="AK53" i="4" s="1"/>
  <c r="M49" i="4"/>
  <c r="AK49" i="4" s="1"/>
  <c r="M45" i="4"/>
  <c r="AK45" i="4" s="1"/>
  <c r="M41" i="4"/>
  <c r="AK41" i="4" s="1"/>
  <c r="M37" i="4"/>
  <c r="AK37" i="4" s="1"/>
  <c r="M33" i="4"/>
  <c r="AK33" i="4" s="1"/>
  <c r="M29" i="4"/>
  <c r="AK29" i="4" s="1"/>
  <c r="M25" i="4"/>
  <c r="AK25" i="4" s="1"/>
  <c r="M21" i="4"/>
  <c r="AK21" i="4" s="1"/>
  <c r="M17" i="4"/>
  <c r="AK17" i="4" s="1"/>
  <c r="M13" i="4"/>
  <c r="AK13" i="4" s="1"/>
  <c r="M9" i="4"/>
  <c r="AK9" i="4" s="1"/>
  <c r="M5" i="4"/>
  <c r="AK5" i="4" s="1"/>
  <c r="M212" i="4"/>
  <c r="AK212" i="4" s="1"/>
  <c r="M208" i="4"/>
  <c r="AK208" i="4" s="1"/>
  <c r="M204" i="4"/>
  <c r="AK204" i="4" s="1"/>
  <c r="M200" i="4"/>
  <c r="AK200" i="4" s="1"/>
  <c r="M196" i="4"/>
  <c r="AK196" i="4" s="1"/>
  <c r="M192" i="4"/>
  <c r="AK192" i="4" s="1"/>
  <c r="M188" i="4"/>
  <c r="AK188" i="4" s="1"/>
  <c r="M184" i="4"/>
  <c r="AK184" i="4" s="1"/>
  <c r="M180" i="4"/>
  <c r="AK180" i="4" s="1"/>
  <c r="M176" i="4"/>
  <c r="AK176" i="4" s="1"/>
  <c r="M172" i="4"/>
  <c r="AK172" i="4" s="1"/>
  <c r="M168" i="4"/>
  <c r="AK168" i="4" s="1"/>
  <c r="M164" i="4"/>
  <c r="AK164" i="4" s="1"/>
  <c r="M160" i="4"/>
  <c r="AK160" i="4" s="1"/>
  <c r="M156" i="4"/>
  <c r="AK156" i="4" s="1"/>
  <c r="M152" i="4"/>
  <c r="AK152" i="4" s="1"/>
  <c r="M148" i="4"/>
  <c r="AK148" i="4" s="1"/>
  <c r="M144" i="4"/>
  <c r="AK144" i="4" s="1"/>
  <c r="M140" i="4"/>
  <c r="AK140" i="4" s="1"/>
  <c r="M136" i="4"/>
  <c r="AK136" i="4" s="1"/>
  <c r="M132" i="4"/>
  <c r="AK132" i="4" s="1"/>
  <c r="M128" i="4"/>
  <c r="AK128" i="4" s="1"/>
  <c r="M124" i="4"/>
  <c r="AK124" i="4" s="1"/>
  <c r="M120" i="4"/>
  <c r="AK120" i="4" s="1"/>
  <c r="M116" i="4"/>
  <c r="AK116" i="4" s="1"/>
  <c r="M112" i="4"/>
  <c r="AK112" i="4" s="1"/>
  <c r="M108" i="4"/>
  <c r="AK108" i="4" s="1"/>
  <c r="M104" i="4"/>
  <c r="AK104" i="4" s="1"/>
  <c r="M100" i="4"/>
  <c r="AK100" i="4" s="1"/>
  <c r="M96" i="4"/>
  <c r="AK96" i="4" s="1"/>
  <c r="M92" i="4"/>
  <c r="AK92" i="4" s="1"/>
  <c r="M88" i="4"/>
  <c r="AK88" i="4" s="1"/>
  <c r="M84" i="4"/>
  <c r="AK84" i="4" s="1"/>
  <c r="M80" i="4"/>
  <c r="AK80" i="4" s="1"/>
  <c r="M76" i="4"/>
  <c r="AK76" i="4" s="1"/>
  <c r="M72" i="4"/>
  <c r="AK72" i="4" s="1"/>
  <c r="M68" i="4"/>
  <c r="AK68" i="4" s="1"/>
  <c r="M64" i="4"/>
  <c r="AK64" i="4" s="1"/>
  <c r="M60" i="4"/>
  <c r="AK60" i="4" s="1"/>
  <c r="M56" i="4"/>
  <c r="AK56" i="4" s="1"/>
  <c r="M52" i="4"/>
  <c r="AK52" i="4" s="1"/>
  <c r="M48" i="4"/>
  <c r="AK48" i="4" s="1"/>
  <c r="M44" i="4"/>
  <c r="AK44" i="4" s="1"/>
  <c r="M40" i="4"/>
  <c r="AK40" i="4" s="1"/>
  <c r="M36" i="4"/>
  <c r="AK36" i="4" s="1"/>
  <c r="M32" i="4"/>
  <c r="AK32" i="4" s="1"/>
  <c r="M28" i="4"/>
  <c r="AK28" i="4" s="1"/>
  <c r="M24" i="4"/>
  <c r="AK24" i="4" s="1"/>
  <c r="M20" i="4"/>
  <c r="AK20" i="4" s="1"/>
  <c r="M16" i="4"/>
  <c r="AK16" i="4" s="1"/>
  <c r="M12" i="4"/>
  <c r="AK12" i="4" s="1"/>
  <c r="M8" i="4"/>
  <c r="AK8" i="4" s="1"/>
  <c r="M4" i="4"/>
  <c r="AK4" i="4" s="1"/>
  <c r="B125" i="3"/>
  <c r="B124" i="3"/>
  <c r="B43" i="4"/>
  <c r="B57" i="4"/>
  <c r="B58" i="4"/>
  <c r="B45" i="4"/>
  <c r="C92" i="3"/>
  <c r="B93" i="3" s="1"/>
  <c r="C101" i="3"/>
  <c r="B102" i="3" s="1"/>
  <c r="D151" i="3"/>
  <c r="C151" i="3"/>
  <c r="C14" i="4"/>
  <c r="B14" i="4" s="1"/>
  <c r="B44" i="4"/>
  <c r="B68" i="4"/>
  <c r="B39" i="4"/>
  <c r="AJ2" i="4" s="1"/>
  <c r="C111" i="3"/>
  <c r="C117" i="3"/>
  <c r="B118" i="3" s="1"/>
  <c r="B112" i="3" l="1"/>
  <c r="B140" i="3" s="1"/>
  <c r="B119" i="3"/>
  <c r="B120" i="3" s="1"/>
  <c r="G42" i="4"/>
  <c r="G24" i="4"/>
  <c r="G40" i="4"/>
  <c r="G88" i="4"/>
  <c r="G104" i="4"/>
  <c r="G152" i="4"/>
  <c r="G168" i="4"/>
  <c r="G184" i="4"/>
  <c r="G200" i="4"/>
  <c r="G5" i="4"/>
  <c r="G21" i="4"/>
  <c r="G37" i="4"/>
  <c r="G53" i="4"/>
  <c r="G69" i="4"/>
  <c r="G85" i="4"/>
  <c r="G101" i="4"/>
  <c r="G117" i="4"/>
  <c r="G137" i="4"/>
  <c r="G157" i="4"/>
  <c r="G14" i="4"/>
  <c r="AA17" i="10"/>
  <c r="B72" i="3"/>
  <c r="B73" i="3" s="1"/>
  <c r="B87" i="3"/>
  <c r="AA8" i="10"/>
  <c r="B89" i="3"/>
  <c r="B150" i="3"/>
  <c r="B149" i="3"/>
  <c r="AA7" i="10"/>
  <c r="B61" i="3"/>
  <c r="AA5" i="10"/>
  <c r="AA4" i="10"/>
  <c r="C89" i="3"/>
  <c r="AA13" i="10"/>
  <c r="AA2" i="10"/>
  <c r="D89" i="3"/>
  <c r="AA3" i="10"/>
  <c r="AA12" i="10"/>
  <c r="AA16" i="10"/>
  <c r="AA11" i="10"/>
  <c r="AA15" i="10"/>
  <c r="AA6" i="10"/>
  <c r="B56" i="3"/>
  <c r="AA9" i="10"/>
  <c r="C11" i="4"/>
  <c r="B11" i="4" s="1"/>
  <c r="D149" i="3"/>
  <c r="C150" i="3"/>
  <c r="D150" i="3"/>
  <c r="B60" i="3"/>
  <c r="B62" i="3" s="1"/>
  <c r="B64" i="3" s="1"/>
  <c r="B74" i="3" s="1"/>
  <c r="H190" i="4"/>
  <c r="H174" i="4"/>
  <c r="H158" i="4"/>
  <c r="H142" i="4"/>
  <c r="H126" i="4"/>
  <c r="H110" i="4"/>
  <c r="H94" i="4"/>
  <c r="H78" i="4"/>
  <c r="H62" i="4"/>
  <c r="H46" i="4"/>
  <c r="H30" i="4"/>
  <c r="H14" i="4"/>
  <c r="H189" i="4"/>
  <c r="H173" i="4"/>
  <c r="H157" i="4"/>
  <c r="H141" i="4"/>
  <c r="H125" i="4"/>
  <c r="H109" i="4"/>
  <c r="H93" i="4"/>
  <c r="H77" i="4"/>
  <c r="H61" i="4"/>
  <c r="H45" i="4"/>
  <c r="H29" i="4"/>
  <c r="H13" i="4"/>
  <c r="H208" i="4"/>
  <c r="H192" i="4"/>
  <c r="H176" i="4"/>
  <c r="H160" i="4"/>
  <c r="H144" i="4"/>
  <c r="H128" i="4"/>
  <c r="H112" i="4"/>
  <c r="H96" i="4"/>
  <c r="H80" i="4"/>
  <c r="H64" i="4"/>
  <c r="H48" i="4"/>
  <c r="H32" i="4"/>
  <c r="H16" i="4"/>
  <c r="H211" i="4"/>
  <c r="H195" i="4"/>
  <c r="H179" i="4"/>
  <c r="H163" i="4"/>
  <c r="H147" i="4"/>
  <c r="H131" i="4"/>
  <c r="H115" i="4"/>
  <c r="H99" i="4"/>
  <c r="H83" i="4"/>
  <c r="H67" i="4"/>
  <c r="H51" i="4"/>
  <c r="H35" i="4"/>
  <c r="H19" i="4"/>
  <c r="H3" i="4"/>
  <c r="H206" i="4"/>
  <c r="H198" i="4"/>
  <c r="H209" i="4"/>
  <c r="H201" i="4"/>
  <c r="H193" i="4"/>
  <c r="G189" i="4"/>
  <c r="G173" i="4"/>
  <c r="G195" i="4"/>
  <c r="G179" i="4"/>
  <c r="G163" i="4"/>
  <c r="G147" i="4"/>
  <c r="G131" i="4"/>
  <c r="G115" i="4"/>
  <c r="G99" i="4"/>
  <c r="G83" i="4"/>
  <c r="G67" i="4"/>
  <c r="G51" i="4"/>
  <c r="G35" i="4"/>
  <c r="G19" i="4"/>
  <c r="G3" i="4"/>
  <c r="G178" i="4"/>
  <c r="G162" i="4"/>
  <c r="G146" i="4"/>
  <c r="G130" i="4"/>
  <c r="G114" i="4"/>
  <c r="G98" i="4"/>
  <c r="G82" i="4"/>
  <c r="G66" i="4"/>
  <c r="G50" i="4"/>
  <c r="G34" i="4"/>
  <c r="G18" i="4"/>
  <c r="G2" i="4"/>
  <c r="G149" i="4"/>
  <c r="G133" i="4"/>
  <c r="H186" i="4"/>
  <c r="H170" i="4"/>
  <c r="H154" i="4"/>
  <c r="H138" i="4"/>
  <c r="H122" i="4"/>
  <c r="H106" i="4"/>
  <c r="H90" i="4"/>
  <c r="H74" i="4"/>
  <c r="H58" i="4"/>
  <c r="H42" i="4"/>
  <c r="H26" i="4"/>
  <c r="H10" i="4"/>
  <c r="H185" i="4"/>
  <c r="H169" i="4"/>
  <c r="H153" i="4"/>
  <c r="H137" i="4"/>
  <c r="H121" i="4"/>
  <c r="H105" i="4"/>
  <c r="H89" i="4"/>
  <c r="H73" i="4"/>
  <c r="H57" i="4"/>
  <c r="H41" i="4"/>
  <c r="H25" i="4"/>
  <c r="H9" i="4"/>
  <c r="H204" i="4"/>
  <c r="H188" i="4"/>
  <c r="H172" i="4"/>
  <c r="H156" i="4"/>
  <c r="H140" i="4"/>
  <c r="H124" i="4"/>
  <c r="H108" i="4"/>
  <c r="H92" i="4"/>
  <c r="H76" i="4"/>
  <c r="H60" i="4"/>
  <c r="H44" i="4"/>
  <c r="H28" i="4"/>
  <c r="H12" i="4"/>
  <c r="H207" i="4"/>
  <c r="H191" i="4"/>
  <c r="H175" i="4"/>
  <c r="H159" i="4"/>
  <c r="H143" i="4"/>
  <c r="H127" i="4"/>
  <c r="H111" i="4"/>
  <c r="H95" i="4"/>
  <c r="H79" i="4"/>
  <c r="H63" i="4"/>
  <c r="H47" i="4"/>
  <c r="H31" i="4"/>
  <c r="H15" i="4"/>
  <c r="G210" i="4"/>
  <c r="G202" i="4"/>
  <c r="G194" i="4"/>
  <c r="G205" i="4"/>
  <c r="G197" i="4"/>
  <c r="G211" i="4"/>
  <c r="G185" i="4"/>
  <c r="G169" i="4"/>
  <c r="G191" i="4"/>
  <c r="G175" i="4"/>
  <c r="G159" i="4"/>
  <c r="G143" i="4"/>
  <c r="G127" i="4"/>
  <c r="G111" i="4"/>
  <c r="G95" i="4"/>
  <c r="G79" i="4"/>
  <c r="G63" i="4"/>
  <c r="G47" i="4"/>
  <c r="G31" i="4"/>
  <c r="G15" i="4"/>
  <c r="G190" i="4"/>
  <c r="G174" i="4"/>
  <c r="G158" i="4"/>
  <c r="G142" i="4"/>
  <c r="G126" i="4"/>
  <c r="G110" i="4"/>
  <c r="G94" i="4"/>
  <c r="G78" i="4"/>
  <c r="G62" i="4"/>
  <c r="G46" i="4"/>
  <c r="H182" i="4"/>
  <c r="H166" i="4"/>
  <c r="H150" i="4"/>
  <c r="H134" i="4"/>
  <c r="H118" i="4"/>
  <c r="H102" i="4"/>
  <c r="H86" i="4"/>
  <c r="H70" i="4"/>
  <c r="H54" i="4"/>
  <c r="H38" i="4"/>
  <c r="H22" i="4"/>
  <c r="H6" i="4"/>
  <c r="H181" i="4"/>
  <c r="H165" i="4"/>
  <c r="H149" i="4"/>
  <c r="H133" i="4"/>
  <c r="H117" i="4"/>
  <c r="H101" i="4"/>
  <c r="H85" i="4"/>
  <c r="H69" i="4"/>
  <c r="H53" i="4"/>
  <c r="H37" i="4"/>
  <c r="H21" i="4"/>
  <c r="H5" i="4"/>
  <c r="H200" i="4"/>
  <c r="H184" i="4"/>
  <c r="H168" i="4"/>
  <c r="H152" i="4"/>
  <c r="H136" i="4"/>
  <c r="H120" i="4"/>
  <c r="H104" i="4"/>
  <c r="H88" i="4"/>
  <c r="H72" i="4"/>
  <c r="H56" i="4"/>
  <c r="H40" i="4"/>
  <c r="H24" i="4"/>
  <c r="H8" i="4"/>
  <c r="H203" i="4"/>
  <c r="H187" i="4"/>
  <c r="H171" i="4"/>
  <c r="H155" i="4"/>
  <c r="H139" i="4"/>
  <c r="H123" i="4"/>
  <c r="H107" i="4"/>
  <c r="H91" i="4"/>
  <c r="H75" i="4"/>
  <c r="H59" i="4"/>
  <c r="H43" i="4"/>
  <c r="H27" i="4"/>
  <c r="H11" i="4"/>
  <c r="H210" i="4"/>
  <c r="H202" i="4"/>
  <c r="H194" i="4"/>
  <c r="H205" i="4"/>
  <c r="H197" i="4"/>
  <c r="G207" i="4"/>
  <c r="G181" i="4"/>
  <c r="G165" i="4"/>
  <c r="G187" i="4"/>
  <c r="G171" i="4"/>
  <c r="G155" i="4"/>
  <c r="G139" i="4"/>
  <c r="G123" i="4"/>
  <c r="G107" i="4"/>
  <c r="G91" i="4"/>
  <c r="G75" i="4"/>
  <c r="G59" i="4"/>
  <c r="G43" i="4"/>
  <c r="G27" i="4"/>
  <c r="G11" i="4"/>
  <c r="G186" i="4"/>
  <c r="G170" i="4"/>
  <c r="G154" i="4"/>
  <c r="G138" i="4"/>
  <c r="G122" i="4"/>
  <c r="G106" i="4"/>
  <c r="H178" i="4"/>
  <c r="H162" i="4"/>
  <c r="H146" i="4"/>
  <c r="H130" i="4"/>
  <c r="H114" i="4"/>
  <c r="H98" i="4"/>
  <c r="H82" i="4"/>
  <c r="H66" i="4"/>
  <c r="H50" i="4"/>
  <c r="H34" i="4"/>
  <c r="H18" i="4"/>
  <c r="H2" i="4"/>
  <c r="H177" i="4"/>
  <c r="H161" i="4"/>
  <c r="H145" i="4"/>
  <c r="H129" i="4"/>
  <c r="H113" i="4"/>
  <c r="H97" i="4"/>
  <c r="H81" i="4"/>
  <c r="H65" i="4"/>
  <c r="H49" i="4"/>
  <c r="H33" i="4"/>
  <c r="H17" i="4"/>
  <c r="H212" i="4"/>
  <c r="H196" i="4"/>
  <c r="H180" i="4"/>
  <c r="H164" i="4"/>
  <c r="H148" i="4"/>
  <c r="H132" i="4"/>
  <c r="H116" i="4"/>
  <c r="H100" i="4"/>
  <c r="H84" i="4"/>
  <c r="H68" i="4"/>
  <c r="H52" i="4"/>
  <c r="H36" i="4"/>
  <c r="H20" i="4"/>
  <c r="H4" i="4"/>
  <c r="H199" i="4"/>
  <c r="H183" i="4"/>
  <c r="H167" i="4"/>
  <c r="H151" i="4"/>
  <c r="H135" i="4"/>
  <c r="H119" i="4"/>
  <c r="H103" i="4"/>
  <c r="H87" i="4"/>
  <c r="H71" i="4"/>
  <c r="H55" i="4"/>
  <c r="H39" i="4"/>
  <c r="H23" i="4"/>
  <c r="H7" i="4"/>
  <c r="G206" i="4"/>
  <c r="G198" i="4"/>
  <c r="G209" i="4"/>
  <c r="G201" i="4"/>
  <c r="G193" i="4"/>
  <c r="G203" i="4"/>
  <c r="G177" i="4"/>
  <c r="G199" i="4"/>
  <c r="G183" i="4"/>
  <c r="G167" i="4"/>
  <c r="G151" i="4"/>
  <c r="G135" i="4"/>
  <c r="G119" i="4"/>
  <c r="G103" i="4"/>
  <c r="G87" i="4"/>
  <c r="G71" i="4"/>
  <c r="G55" i="4"/>
  <c r="G39" i="4"/>
  <c r="G23" i="4"/>
  <c r="G7" i="4"/>
  <c r="G182" i="4"/>
  <c r="G166" i="4"/>
  <c r="G150" i="4"/>
  <c r="G134" i="4"/>
  <c r="G118" i="4"/>
  <c r="G102" i="4"/>
  <c r="G86" i="4"/>
  <c r="G70" i="4"/>
  <c r="G54" i="4"/>
  <c r="G38" i="4"/>
  <c r="G12" i="4"/>
  <c r="G44" i="4"/>
  <c r="G60" i="4"/>
  <c r="G76" i="4"/>
  <c r="G92" i="4"/>
  <c r="G124" i="4"/>
  <c r="G140" i="4"/>
  <c r="G156" i="4"/>
  <c r="G172" i="4"/>
  <c r="G188" i="4"/>
  <c r="G204" i="4"/>
  <c r="G9" i="4"/>
  <c r="G25" i="4"/>
  <c r="G41" i="4"/>
  <c r="G57" i="4"/>
  <c r="G73" i="4"/>
  <c r="G89" i="4"/>
  <c r="G105" i="4"/>
  <c r="G121" i="4"/>
  <c r="G141" i="4"/>
  <c r="G161" i="4"/>
  <c r="G22" i="4"/>
  <c r="G58" i="4"/>
  <c r="G28" i="4"/>
  <c r="G108" i="4"/>
  <c r="C68" i="3"/>
  <c r="C149" i="3"/>
  <c r="C152" i="3" s="1"/>
  <c r="G16" i="4"/>
  <c r="G32" i="4"/>
  <c r="G48" i="4"/>
  <c r="G64" i="4"/>
  <c r="G80" i="4"/>
  <c r="G96" i="4"/>
  <c r="G112" i="4"/>
  <c r="G128" i="4"/>
  <c r="G144" i="4"/>
  <c r="G160" i="4"/>
  <c r="G176" i="4"/>
  <c r="G192" i="4"/>
  <c r="G208" i="4"/>
  <c r="G13" i="4"/>
  <c r="G29" i="4"/>
  <c r="G45" i="4"/>
  <c r="G61" i="4"/>
  <c r="G77" i="4"/>
  <c r="G93" i="4"/>
  <c r="G109" i="4"/>
  <c r="G125" i="4"/>
  <c r="G145" i="4"/>
  <c r="G6" i="4"/>
  <c r="G26" i="4"/>
  <c r="G74" i="4"/>
  <c r="G4" i="4"/>
  <c r="G36" i="4"/>
  <c r="G68" i="4"/>
  <c r="G84" i="4"/>
  <c r="G100" i="4"/>
  <c r="G116" i="4"/>
  <c r="G132" i="4"/>
  <c r="G164" i="4"/>
  <c r="G180" i="4"/>
  <c r="G196" i="4"/>
  <c r="G212" i="4"/>
  <c r="G17" i="4"/>
  <c r="G33" i="4"/>
  <c r="G49" i="4"/>
  <c r="G65" i="4"/>
  <c r="G81" i="4"/>
  <c r="G97" i="4"/>
  <c r="G113" i="4"/>
  <c r="G129" i="4"/>
  <c r="G153" i="4"/>
  <c r="G10" i="4"/>
  <c r="G30" i="4"/>
  <c r="G90" i="4"/>
  <c r="B127" i="3"/>
  <c r="B126" i="3"/>
  <c r="B113" i="3"/>
  <c r="B94" i="3"/>
  <c r="AJ3" i="4"/>
  <c r="AJ7" i="4"/>
  <c r="AJ11" i="4"/>
  <c r="AJ15" i="4"/>
  <c r="AJ19" i="4"/>
  <c r="AJ23" i="4"/>
  <c r="AJ27" i="4"/>
  <c r="AJ31" i="4"/>
  <c r="AJ35" i="4"/>
  <c r="AJ39" i="4"/>
  <c r="AJ43" i="4"/>
  <c r="AJ47" i="4"/>
  <c r="AJ51" i="4"/>
  <c r="AJ55" i="4"/>
  <c r="AJ59" i="4"/>
  <c r="AJ63" i="4"/>
  <c r="AJ67" i="4"/>
  <c r="AJ71" i="4"/>
  <c r="AJ75" i="4"/>
  <c r="AJ79" i="4"/>
  <c r="AJ83" i="4"/>
  <c r="AJ87" i="4"/>
  <c r="AJ91" i="4"/>
  <c r="AJ95" i="4"/>
  <c r="AJ99" i="4"/>
  <c r="AJ103" i="4"/>
  <c r="AJ107" i="4"/>
  <c r="AJ111" i="4"/>
  <c r="AJ115" i="4"/>
  <c r="AJ119" i="4"/>
  <c r="AJ123" i="4"/>
  <c r="AJ127" i="4"/>
  <c r="AJ131" i="4"/>
  <c r="AJ135" i="4"/>
  <c r="AJ139" i="4"/>
  <c r="AJ143" i="4"/>
  <c r="AJ147" i="4"/>
  <c r="AJ151" i="4"/>
  <c r="AJ155" i="4"/>
  <c r="AJ159" i="4"/>
  <c r="AJ163" i="4"/>
  <c r="AJ167" i="4"/>
  <c r="AJ171" i="4"/>
  <c r="AJ175" i="4"/>
  <c r="AJ179" i="4"/>
  <c r="AJ183" i="4"/>
  <c r="AJ187" i="4"/>
  <c r="AJ191" i="4"/>
  <c r="AJ195" i="4"/>
  <c r="AJ199" i="4"/>
  <c r="AJ203" i="4"/>
  <c r="AJ207" i="4"/>
  <c r="AJ211" i="4"/>
  <c r="AJ184" i="4"/>
  <c r="AJ192" i="4"/>
  <c r="AJ200" i="4"/>
  <c r="AJ208" i="4"/>
  <c r="AJ4" i="4"/>
  <c r="AJ8" i="4"/>
  <c r="AJ12" i="4"/>
  <c r="AJ16" i="4"/>
  <c r="AJ20" i="4"/>
  <c r="AJ24" i="4"/>
  <c r="AJ28" i="4"/>
  <c r="AJ32" i="4"/>
  <c r="AJ36" i="4"/>
  <c r="AJ40" i="4"/>
  <c r="AJ44" i="4"/>
  <c r="AJ48" i="4"/>
  <c r="AJ52" i="4"/>
  <c r="AJ56" i="4"/>
  <c r="AJ60" i="4"/>
  <c r="AJ64" i="4"/>
  <c r="AJ68" i="4"/>
  <c r="AJ72" i="4"/>
  <c r="AJ76" i="4"/>
  <c r="AJ80" i="4"/>
  <c r="AJ84" i="4"/>
  <c r="AJ88" i="4"/>
  <c r="AJ92" i="4"/>
  <c r="AJ96" i="4"/>
  <c r="AJ100" i="4"/>
  <c r="AJ104" i="4"/>
  <c r="AJ108" i="4"/>
  <c r="AJ112" i="4"/>
  <c r="AJ116" i="4"/>
  <c r="AJ120" i="4"/>
  <c r="AJ124" i="4"/>
  <c r="AJ128" i="4"/>
  <c r="AJ132" i="4"/>
  <c r="AJ136" i="4"/>
  <c r="AJ140" i="4"/>
  <c r="AJ144" i="4"/>
  <c r="AJ148" i="4"/>
  <c r="AJ152" i="4"/>
  <c r="AJ156" i="4"/>
  <c r="AJ160" i="4"/>
  <c r="AJ164" i="4"/>
  <c r="AJ168" i="4"/>
  <c r="AJ172" i="4"/>
  <c r="AJ176" i="4"/>
  <c r="AJ180" i="4"/>
  <c r="AJ188" i="4"/>
  <c r="AJ196" i="4"/>
  <c r="AJ204" i="4"/>
  <c r="AJ212" i="4"/>
  <c r="AJ5" i="4"/>
  <c r="AJ9" i="4"/>
  <c r="AJ13" i="4"/>
  <c r="AJ17" i="4"/>
  <c r="AJ21" i="4"/>
  <c r="AJ25" i="4"/>
  <c r="AJ29" i="4"/>
  <c r="AJ33" i="4"/>
  <c r="AJ37" i="4"/>
  <c r="AJ41" i="4"/>
  <c r="AJ45" i="4"/>
  <c r="AJ49" i="4"/>
  <c r="AJ53" i="4"/>
  <c r="AJ57" i="4"/>
  <c r="AJ61" i="4"/>
  <c r="AJ65" i="4"/>
  <c r="AJ69" i="4"/>
  <c r="AJ73" i="4"/>
  <c r="AJ77" i="4"/>
  <c r="AJ81" i="4"/>
  <c r="AJ85" i="4"/>
  <c r="AJ89" i="4"/>
  <c r="AJ93" i="4"/>
  <c r="AJ97" i="4"/>
  <c r="AJ101" i="4"/>
  <c r="AJ105" i="4"/>
  <c r="AJ109" i="4"/>
  <c r="AJ113" i="4"/>
  <c r="AJ117" i="4"/>
  <c r="AJ121" i="4"/>
  <c r="AJ125" i="4"/>
  <c r="AJ129" i="4"/>
  <c r="AJ133" i="4"/>
  <c r="AJ137" i="4"/>
  <c r="AJ141" i="4"/>
  <c r="AJ145" i="4"/>
  <c r="AJ149" i="4"/>
  <c r="AJ153" i="4"/>
  <c r="AJ157" i="4"/>
  <c r="AJ161" i="4"/>
  <c r="AJ165" i="4"/>
  <c r="AJ169" i="4"/>
  <c r="AJ173" i="4"/>
  <c r="AJ177" i="4"/>
  <c r="AJ181" i="4"/>
  <c r="AJ185" i="4"/>
  <c r="AJ189" i="4"/>
  <c r="AJ193" i="4"/>
  <c r="AJ197" i="4"/>
  <c r="AJ201" i="4"/>
  <c r="AJ205" i="4"/>
  <c r="AJ209" i="4"/>
  <c r="AJ6" i="4"/>
  <c r="AJ10" i="4"/>
  <c r="AJ14" i="4"/>
  <c r="AJ18" i="4"/>
  <c r="AJ22" i="4"/>
  <c r="AJ26" i="4"/>
  <c r="AJ30" i="4"/>
  <c r="AJ34" i="4"/>
  <c r="AJ38" i="4"/>
  <c r="AJ42" i="4"/>
  <c r="AJ46" i="4"/>
  <c r="AJ50" i="4"/>
  <c r="AJ54" i="4"/>
  <c r="AJ58" i="4"/>
  <c r="AJ62" i="4"/>
  <c r="AJ66" i="4"/>
  <c r="AJ70" i="4"/>
  <c r="AJ74" i="4"/>
  <c r="AJ78" i="4"/>
  <c r="AJ82" i="4"/>
  <c r="AJ86" i="4"/>
  <c r="AJ90" i="4"/>
  <c r="AJ94" i="4"/>
  <c r="AJ98" i="4"/>
  <c r="AJ102" i="4"/>
  <c r="AJ106" i="4"/>
  <c r="AJ110" i="4"/>
  <c r="AJ114" i="4"/>
  <c r="AJ118" i="4"/>
  <c r="AJ122" i="4"/>
  <c r="AJ126" i="4"/>
  <c r="AJ130" i="4"/>
  <c r="AJ134" i="4"/>
  <c r="AJ138" i="4"/>
  <c r="AJ142" i="4"/>
  <c r="AJ146" i="4"/>
  <c r="AJ150" i="4"/>
  <c r="AJ154" i="4"/>
  <c r="AJ158" i="4"/>
  <c r="AJ162" i="4"/>
  <c r="AJ166" i="4"/>
  <c r="AJ170" i="4"/>
  <c r="AJ174" i="4"/>
  <c r="AJ178" i="4"/>
  <c r="AJ182" i="4"/>
  <c r="AJ186" i="4"/>
  <c r="AJ190" i="4"/>
  <c r="AJ194" i="4"/>
  <c r="AJ198" i="4"/>
  <c r="AJ202" i="4"/>
  <c r="AJ206" i="4"/>
  <c r="AJ210" i="4"/>
  <c r="B60" i="4"/>
  <c r="B41" i="4"/>
  <c r="C24" i="4"/>
  <c r="B40" i="4"/>
  <c r="C64" i="3" l="1"/>
  <c r="C67" i="3" s="1"/>
  <c r="D68" i="3"/>
  <c r="B71" i="3"/>
  <c r="B68" i="3"/>
  <c r="B65" i="3"/>
  <c r="B75" i="3"/>
  <c r="C12" i="4"/>
  <c r="B12" i="4" s="1"/>
  <c r="B69" i="4" s="1"/>
  <c r="B70" i="4" s="1"/>
  <c r="D65" i="3"/>
  <c r="D64" i="3"/>
  <c r="D67" i="3" s="1"/>
  <c r="C140" i="3"/>
  <c r="B141" i="3" s="1"/>
  <c r="G136" i="4"/>
  <c r="G72" i="4"/>
  <c r="G148" i="4"/>
  <c r="B51" i="3"/>
  <c r="C51" i="3" s="1"/>
  <c r="B52" i="3" s="1"/>
  <c r="AB10" i="10" s="1"/>
  <c r="G120" i="4"/>
  <c r="G56" i="4"/>
  <c r="G20" i="4"/>
  <c r="G8" i="4"/>
  <c r="C65" i="3"/>
  <c r="C66" i="3" s="1"/>
  <c r="G52" i="4"/>
  <c r="D152" i="3"/>
  <c r="B66" i="3"/>
  <c r="B152" i="3"/>
  <c r="B46" i="4"/>
  <c r="B87" i="4"/>
  <c r="B55" i="4"/>
  <c r="B67" i="3"/>
  <c r="B79" i="3"/>
  <c r="B73" i="4"/>
  <c r="AI2" i="4"/>
  <c r="AI3" i="4"/>
  <c r="AL3" i="4" s="1"/>
  <c r="AI7" i="4"/>
  <c r="AL7" i="4" s="1"/>
  <c r="AI11" i="4"/>
  <c r="AL11" i="4" s="1"/>
  <c r="AI15" i="4"/>
  <c r="AL15" i="4" s="1"/>
  <c r="AI19" i="4"/>
  <c r="AL19" i="4" s="1"/>
  <c r="AI23" i="4"/>
  <c r="AL23" i="4" s="1"/>
  <c r="AI27" i="4"/>
  <c r="AL27" i="4" s="1"/>
  <c r="AI31" i="4"/>
  <c r="AL31" i="4" s="1"/>
  <c r="AI35" i="4"/>
  <c r="AL35" i="4" s="1"/>
  <c r="AI39" i="4"/>
  <c r="AL39" i="4" s="1"/>
  <c r="AI43" i="4"/>
  <c r="AL43" i="4" s="1"/>
  <c r="AI4" i="4"/>
  <c r="AL4" i="4" s="1"/>
  <c r="AI8" i="4"/>
  <c r="AL8" i="4" s="1"/>
  <c r="AI12" i="4"/>
  <c r="AL12" i="4" s="1"/>
  <c r="AI16" i="4"/>
  <c r="AL16" i="4" s="1"/>
  <c r="AI20" i="4"/>
  <c r="AL20" i="4" s="1"/>
  <c r="AI24" i="4"/>
  <c r="AL24" i="4" s="1"/>
  <c r="AI28" i="4"/>
  <c r="AL28" i="4" s="1"/>
  <c r="AI32" i="4"/>
  <c r="AL32" i="4" s="1"/>
  <c r="AI36" i="4"/>
  <c r="AL36" i="4" s="1"/>
  <c r="AI40" i="4"/>
  <c r="AL40" i="4" s="1"/>
  <c r="AI44" i="4"/>
  <c r="AL44" i="4" s="1"/>
  <c r="AI48" i="4"/>
  <c r="AL48" i="4" s="1"/>
  <c r="AI52" i="4"/>
  <c r="AL52" i="4" s="1"/>
  <c r="AI56" i="4"/>
  <c r="AL56" i="4" s="1"/>
  <c r="AI60" i="4"/>
  <c r="AL60" i="4" s="1"/>
  <c r="AI64" i="4"/>
  <c r="AL64" i="4" s="1"/>
  <c r="AI68" i="4"/>
  <c r="AL68" i="4" s="1"/>
  <c r="AI72" i="4"/>
  <c r="AL72" i="4" s="1"/>
  <c r="AI76" i="4"/>
  <c r="AL76" i="4" s="1"/>
  <c r="AI80" i="4"/>
  <c r="AL80" i="4" s="1"/>
  <c r="AI84" i="4"/>
  <c r="AL84" i="4" s="1"/>
  <c r="AI88" i="4"/>
  <c r="AL88" i="4" s="1"/>
  <c r="AI92" i="4"/>
  <c r="AL92" i="4" s="1"/>
  <c r="AI96" i="4"/>
  <c r="AL96" i="4" s="1"/>
  <c r="AI100" i="4"/>
  <c r="AL100" i="4" s="1"/>
  <c r="AI104" i="4"/>
  <c r="AL104" i="4" s="1"/>
  <c r="AI108" i="4"/>
  <c r="AL108" i="4" s="1"/>
  <c r="AI6" i="4"/>
  <c r="AL6" i="4" s="1"/>
  <c r="AI10" i="4"/>
  <c r="AL10" i="4" s="1"/>
  <c r="AI14" i="4"/>
  <c r="AL14" i="4" s="1"/>
  <c r="AI18" i="4"/>
  <c r="AL18" i="4" s="1"/>
  <c r="AI22" i="4"/>
  <c r="AL22" i="4" s="1"/>
  <c r="AI26" i="4"/>
  <c r="AL26" i="4" s="1"/>
  <c r="AI30" i="4"/>
  <c r="AL30" i="4" s="1"/>
  <c r="AI34" i="4"/>
  <c r="AL34" i="4" s="1"/>
  <c r="AI38" i="4"/>
  <c r="AL38" i="4" s="1"/>
  <c r="AI42" i="4"/>
  <c r="AL42" i="4" s="1"/>
  <c r="AI46" i="4"/>
  <c r="AL46" i="4" s="1"/>
  <c r="AI50" i="4"/>
  <c r="AL50" i="4" s="1"/>
  <c r="AI54" i="4"/>
  <c r="AL54" i="4" s="1"/>
  <c r="AI58" i="4"/>
  <c r="AL58" i="4" s="1"/>
  <c r="AI62" i="4"/>
  <c r="AL62" i="4" s="1"/>
  <c r="AI66" i="4"/>
  <c r="AL66" i="4" s="1"/>
  <c r="AI70" i="4"/>
  <c r="AL70" i="4" s="1"/>
  <c r="AI74" i="4"/>
  <c r="AL74" i="4" s="1"/>
  <c r="AI78" i="4"/>
  <c r="AL78" i="4" s="1"/>
  <c r="AI82" i="4"/>
  <c r="AL82" i="4" s="1"/>
  <c r="AI86" i="4"/>
  <c r="AL86" i="4" s="1"/>
  <c r="AI90" i="4"/>
  <c r="AL90" i="4" s="1"/>
  <c r="AI94" i="4"/>
  <c r="AL94" i="4" s="1"/>
  <c r="AI98" i="4"/>
  <c r="AL98" i="4" s="1"/>
  <c r="AI102" i="4"/>
  <c r="AL102" i="4" s="1"/>
  <c r="AI106" i="4"/>
  <c r="AL106" i="4" s="1"/>
  <c r="AI110" i="4"/>
  <c r="AL110" i="4" s="1"/>
  <c r="AI17" i="4"/>
  <c r="AL17" i="4" s="1"/>
  <c r="AI33" i="4"/>
  <c r="AL33" i="4" s="1"/>
  <c r="AI47" i="4"/>
  <c r="AL47" i="4" s="1"/>
  <c r="AI55" i="4"/>
  <c r="AL55" i="4" s="1"/>
  <c r="AI63" i="4"/>
  <c r="AL63" i="4" s="1"/>
  <c r="AI71" i="4"/>
  <c r="AL71" i="4" s="1"/>
  <c r="AI79" i="4"/>
  <c r="AL79" i="4" s="1"/>
  <c r="AI87" i="4"/>
  <c r="AL87" i="4" s="1"/>
  <c r="AI95" i="4"/>
  <c r="AL95" i="4" s="1"/>
  <c r="AI103" i="4"/>
  <c r="AL103" i="4" s="1"/>
  <c r="AI111" i="4"/>
  <c r="AL111" i="4" s="1"/>
  <c r="AI115" i="4"/>
  <c r="AL115" i="4" s="1"/>
  <c r="AI119" i="4"/>
  <c r="AL119" i="4" s="1"/>
  <c r="AI123" i="4"/>
  <c r="AL123" i="4" s="1"/>
  <c r="AI127" i="4"/>
  <c r="AL127" i="4" s="1"/>
  <c r="AI131" i="4"/>
  <c r="AL131" i="4" s="1"/>
  <c r="AI135" i="4"/>
  <c r="AL135" i="4" s="1"/>
  <c r="AI139" i="4"/>
  <c r="AL139" i="4" s="1"/>
  <c r="AI143" i="4"/>
  <c r="AL143" i="4" s="1"/>
  <c r="AI147" i="4"/>
  <c r="AL147" i="4" s="1"/>
  <c r="AI151" i="4"/>
  <c r="AL151" i="4" s="1"/>
  <c r="AI155" i="4"/>
  <c r="AL155" i="4" s="1"/>
  <c r="AI159" i="4"/>
  <c r="AL159" i="4" s="1"/>
  <c r="AI163" i="4"/>
  <c r="AL163" i="4" s="1"/>
  <c r="AI167" i="4"/>
  <c r="AL167" i="4" s="1"/>
  <c r="AI171" i="4"/>
  <c r="AL171" i="4" s="1"/>
  <c r="AI175" i="4"/>
  <c r="AL175" i="4" s="1"/>
  <c r="AI179" i="4"/>
  <c r="AL179" i="4" s="1"/>
  <c r="AI183" i="4"/>
  <c r="AL183" i="4" s="1"/>
  <c r="AI187" i="4"/>
  <c r="AL187" i="4" s="1"/>
  <c r="AI191" i="4"/>
  <c r="AL191" i="4" s="1"/>
  <c r="AI195" i="4"/>
  <c r="AL195" i="4" s="1"/>
  <c r="AI199" i="4"/>
  <c r="AL199" i="4" s="1"/>
  <c r="AI207" i="4"/>
  <c r="AL207" i="4" s="1"/>
  <c r="AI5" i="4"/>
  <c r="AL5" i="4" s="1"/>
  <c r="AI21" i="4"/>
  <c r="AL21" i="4" s="1"/>
  <c r="AI37" i="4"/>
  <c r="AL37" i="4" s="1"/>
  <c r="AI49" i="4"/>
  <c r="AL49" i="4" s="1"/>
  <c r="AI57" i="4"/>
  <c r="AL57" i="4" s="1"/>
  <c r="AI65" i="4"/>
  <c r="AL65" i="4" s="1"/>
  <c r="AI73" i="4"/>
  <c r="AL73" i="4" s="1"/>
  <c r="AI81" i="4"/>
  <c r="AL81" i="4" s="1"/>
  <c r="AI89" i="4"/>
  <c r="AL89" i="4" s="1"/>
  <c r="AI97" i="4"/>
  <c r="AL97" i="4" s="1"/>
  <c r="AI105" i="4"/>
  <c r="AL105" i="4" s="1"/>
  <c r="AI112" i="4"/>
  <c r="AL112" i="4" s="1"/>
  <c r="AI116" i="4"/>
  <c r="AL116" i="4" s="1"/>
  <c r="AI120" i="4"/>
  <c r="AL120" i="4" s="1"/>
  <c r="AI124" i="4"/>
  <c r="AL124" i="4" s="1"/>
  <c r="AI128" i="4"/>
  <c r="AL128" i="4" s="1"/>
  <c r="AI132" i="4"/>
  <c r="AL132" i="4" s="1"/>
  <c r="AI136" i="4"/>
  <c r="AL136" i="4" s="1"/>
  <c r="AI140" i="4"/>
  <c r="AL140" i="4" s="1"/>
  <c r="AI144" i="4"/>
  <c r="AL144" i="4" s="1"/>
  <c r="AI148" i="4"/>
  <c r="AL148" i="4" s="1"/>
  <c r="AI152" i="4"/>
  <c r="AL152" i="4" s="1"/>
  <c r="AI156" i="4"/>
  <c r="AL156" i="4" s="1"/>
  <c r="AI160" i="4"/>
  <c r="AL160" i="4" s="1"/>
  <c r="AI164" i="4"/>
  <c r="AL164" i="4" s="1"/>
  <c r="AI168" i="4"/>
  <c r="AL168" i="4" s="1"/>
  <c r="AI172" i="4"/>
  <c r="AL172" i="4" s="1"/>
  <c r="AI176" i="4"/>
  <c r="AL176" i="4" s="1"/>
  <c r="AI180" i="4"/>
  <c r="AL180" i="4" s="1"/>
  <c r="AI184" i="4"/>
  <c r="AL184" i="4" s="1"/>
  <c r="AI188" i="4"/>
  <c r="AL188" i="4" s="1"/>
  <c r="AI192" i="4"/>
  <c r="AL192" i="4" s="1"/>
  <c r="AI196" i="4"/>
  <c r="AL196" i="4" s="1"/>
  <c r="AI200" i="4"/>
  <c r="AL200" i="4" s="1"/>
  <c r="AI204" i="4"/>
  <c r="AL204" i="4" s="1"/>
  <c r="AI208" i="4"/>
  <c r="AL208" i="4" s="1"/>
  <c r="AI212" i="4"/>
  <c r="AL212" i="4" s="1"/>
  <c r="AI211" i="4"/>
  <c r="AL211" i="4" s="1"/>
  <c r="AI9" i="4"/>
  <c r="AL9" i="4" s="1"/>
  <c r="AI25" i="4"/>
  <c r="AL25" i="4" s="1"/>
  <c r="AI41" i="4"/>
  <c r="AL41" i="4" s="1"/>
  <c r="AI51" i="4"/>
  <c r="AL51" i="4" s="1"/>
  <c r="AI59" i="4"/>
  <c r="AL59" i="4" s="1"/>
  <c r="AI67" i="4"/>
  <c r="AL67" i="4" s="1"/>
  <c r="AI75" i="4"/>
  <c r="AL75" i="4" s="1"/>
  <c r="AI83" i="4"/>
  <c r="AL83" i="4" s="1"/>
  <c r="AI91" i="4"/>
  <c r="AL91" i="4" s="1"/>
  <c r="AI99" i="4"/>
  <c r="AL99" i="4" s="1"/>
  <c r="AI107" i="4"/>
  <c r="AL107" i="4" s="1"/>
  <c r="AI113" i="4"/>
  <c r="AL113" i="4" s="1"/>
  <c r="AI117" i="4"/>
  <c r="AL117" i="4" s="1"/>
  <c r="AI121" i="4"/>
  <c r="AL121" i="4" s="1"/>
  <c r="AI125" i="4"/>
  <c r="AL125" i="4" s="1"/>
  <c r="AI129" i="4"/>
  <c r="AL129" i="4" s="1"/>
  <c r="AI133" i="4"/>
  <c r="AL133" i="4" s="1"/>
  <c r="AI137" i="4"/>
  <c r="AL137" i="4" s="1"/>
  <c r="AI141" i="4"/>
  <c r="AL141" i="4" s="1"/>
  <c r="AI145" i="4"/>
  <c r="AL145" i="4" s="1"/>
  <c r="AI149" i="4"/>
  <c r="AL149" i="4" s="1"/>
  <c r="AI153" i="4"/>
  <c r="AL153" i="4" s="1"/>
  <c r="AI157" i="4"/>
  <c r="AL157" i="4" s="1"/>
  <c r="AI161" i="4"/>
  <c r="AL161" i="4" s="1"/>
  <c r="AI165" i="4"/>
  <c r="AL165" i="4" s="1"/>
  <c r="AI169" i="4"/>
  <c r="AL169" i="4" s="1"/>
  <c r="AI173" i="4"/>
  <c r="AL173" i="4" s="1"/>
  <c r="AI177" i="4"/>
  <c r="AL177" i="4" s="1"/>
  <c r="AI181" i="4"/>
  <c r="AL181" i="4" s="1"/>
  <c r="AI185" i="4"/>
  <c r="AL185" i="4" s="1"/>
  <c r="AI189" i="4"/>
  <c r="AL189" i="4" s="1"/>
  <c r="AI193" i="4"/>
  <c r="AL193" i="4" s="1"/>
  <c r="AI197" i="4"/>
  <c r="AL197" i="4" s="1"/>
  <c r="AI201" i="4"/>
  <c r="AL201" i="4" s="1"/>
  <c r="AI205" i="4"/>
  <c r="AL205" i="4" s="1"/>
  <c r="AI209" i="4"/>
  <c r="AL209" i="4" s="1"/>
  <c r="AI13" i="4"/>
  <c r="AL13" i="4" s="1"/>
  <c r="AI29" i="4"/>
  <c r="AL29" i="4" s="1"/>
  <c r="AI45" i="4"/>
  <c r="AL45" i="4" s="1"/>
  <c r="AI53" i="4"/>
  <c r="AL53" i="4" s="1"/>
  <c r="AI61" i="4"/>
  <c r="AL61" i="4" s="1"/>
  <c r="AI69" i="4"/>
  <c r="AL69" i="4" s="1"/>
  <c r="AI77" i="4"/>
  <c r="AL77" i="4" s="1"/>
  <c r="AI85" i="4"/>
  <c r="AL85" i="4" s="1"/>
  <c r="AI93" i="4"/>
  <c r="AL93" i="4" s="1"/>
  <c r="AI101" i="4"/>
  <c r="AL101" i="4" s="1"/>
  <c r="AI109" i="4"/>
  <c r="AL109" i="4" s="1"/>
  <c r="AI114" i="4"/>
  <c r="AL114" i="4" s="1"/>
  <c r="AI118" i="4"/>
  <c r="AL118" i="4" s="1"/>
  <c r="AI122" i="4"/>
  <c r="AL122" i="4" s="1"/>
  <c r="AI126" i="4"/>
  <c r="AL126" i="4" s="1"/>
  <c r="AI130" i="4"/>
  <c r="AL130" i="4" s="1"/>
  <c r="AI134" i="4"/>
  <c r="AL134" i="4" s="1"/>
  <c r="AI138" i="4"/>
  <c r="AL138" i="4" s="1"/>
  <c r="AI142" i="4"/>
  <c r="AL142" i="4" s="1"/>
  <c r="AI146" i="4"/>
  <c r="AL146" i="4" s="1"/>
  <c r="AI150" i="4"/>
  <c r="AL150" i="4" s="1"/>
  <c r="AI154" i="4"/>
  <c r="AL154" i="4" s="1"/>
  <c r="AI158" i="4"/>
  <c r="AL158" i="4" s="1"/>
  <c r="AI162" i="4"/>
  <c r="AL162" i="4" s="1"/>
  <c r="AI166" i="4"/>
  <c r="AL166" i="4" s="1"/>
  <c r="AI170" i="4"/>
  <c r="AL170" i="4" s="1"/>
  <c r="AI174" i="4"/>
  <c r="AL174" i="4" s="1"/>
  <c r="AI178" i="4"/>
  <c r="AL178" i="4" s="1"/>
  <c r="AI182" i="4"/>
  <c r="AL182" i="4" s="1"/>
  <c r="AI186" i="4"/>
  <c r="AL186" i="4" s="1"/>
  <c r="AI190" i="4"/>
  <c r="AL190" i="4" s="1"/>
  <c r="AI194" i="4"/>
  <c r="AL194" i="4" s="1"/>
  <c r="AI198" i="4"/>
  <c r="AL198" i="4" s="1"/>
  <c r="AI202" i="4"/>
  <c r="AL202" i="4" s="1"/>
  <c r="AI206" i="4"/>
  <c r="AL206" i="4" s="1"/>
  <c r="AI210" i="4"/>
  <c r="AL210" i="4" s="1"/>
  <c r="AI203" i="4"/>
  <c r="AL203" i="4" s="1"/>
  <c r="B59" i="4"/>
  <c r="C23" i="4"/>
  <c r="C94" i="3"/>
  <c r="B95" i="3" s="1"/>
  <c r="C103" i="3"/>
  <c r="B104" i="3" s="1"/>
  <c r="B5" i="13"/>
  <c r="B10" i="13" s="1"/>
  <c r="D10" i="13" s="1"/>
  <c r="C5" i="4"/>
  <c r="B5" i="4" s="1"/>
  <c r="B62" i="4" l="1"/>
  <c r="B90" i="4"/>
  <c r="D66" i="3"/>
  <c r="C64" i="4"/>
  <c r="AN174" i="4"/>
  <c r="AN210" i="4"/>
  <c r="AN23" i="4"/>
  <c r="AN43" i="4"/>
  <c r="AN63" i="4"/>
  <c r="AN87" i="4"/>
  <c r="AN107" i="4"/>
  <c r="AN127" i="4"/>
  <c r="AN151" i="4"/>
  <c r="AN171" i="4"/>
  <c r="AN191" i="4"/>
  <c r="AN80" i="4"/>
  <c r="AN2" i="4"/>
  <c r="AN11" i="4"/>
  <c r="AN55" i="4"/>
  <c r="AN95" i="4"/>
  <c r="AN139" i="4"/>
  <c r="AN183" i="4"/>
  <c r="B64" i="4"/>
  <c r="B81" i="4" s="1"/>
  <c r="B82" i="4" s="1"/>
  <c r="B65" i="4"/>
  <c r="B66" i="4" s="1"/>
  <c r="AN206" i="4"/>
  <c r="AN39" i="4"/>
  <c r="AN79" i="4"/>
  <c r="AN123" i="4"/>
  <c r="AN167" i="4"/>
  <c r="AN207" i="4"/>
  <c r="AN190" i="4"/>
  <c r="AN7" i="4"/>
  <c r="AN27" i="4"/>
  <c r="AN47" i="4"/>
  <c r="AN71" i="4"/>
  <c r="AN91" i="4"/>
  <c r="AN111" i="4"/>
  <c r="AN135" i="4"/>
  <c r="AN155" i="4"/>
  <c r="AN175" i="4"/>
  <c r="AN199" i="4"/>
  <c r="AN208" i="4"/>
  <c r="AN202" i="4"/>
  <c r="AN31" i="4"/>
  <c r="AN75" i="4"/>
  <c r="AN119" i="4"/>
  <c r="AN159" i="4"/>
  <c r="AN203" i="4"/>
  <c r="AN46" i="4"/>
  <c r="AN15" i="4"/>
  <c r="AN59" i="4"/>
  <c r="AN103" i="4"/>
  <c r="AN143" i="4"/>
  <c r="AN187" i="4"/>
  <c r="B42" i="4"/>
  <c r="AN179" i="4"/>
  <c r="AN115" i="4"/>
  <c r="AN51" i="4"/>
  <c r="AN198" i="4"/>
  <c r="AN189" i="4"/>
  <c r="AN61" i="4"/>
  <c r="AN14" i="4"/>
  <c r="AN78" i="4"/>
  <c r="AN96" i="4"/>
  <c r="AN30" i="4"/>
  <c r="AN192" i="4"/>
  <c r="AN62" i="4"/>
  <c r="AN13" i="4"/>
  <c r="AN104" i="4"/>
  <c r="AN166" i="4"/>
  <c r="AN38" i="4"/>
  <c r="AN117" i="4"/>
  <c r="AN184" i="4"/>
  <c r="AN56" i="4"/>
  <c r="AN118" i="4"/>
  <c r="AN197" i="4"/>
  <c r="AN69" i="4"/>
  <c r="AN180" i="4"/>
  <c r="AN116" i="4"/>
  <c r="AN52" i="4"/>
  <c r="AN170" i="4"/>
  <c r="AN106" i="4"/>
  <c r="AN42" i="4"/>
  <c r="AN185" i="4"/>
  <c r="AN121" i="4"/>
  <c r="AN57" i="4"/>
  <c r="AN212" i="4"/>
  <c r="AN156" i="4"/>
  <c r="AN92" i="4"/>
  <c r="AN28" i="4"/>
  <c r="AN130" i="4"/>
  <c r="AN66" i="4"/>
  <c r="AN209" i="4"/>
  <c r="AN145" i="4"/>
  <c r="AN81" i="4"/>
  <c r="AN17" i="4"/>
  <c r="B71" i="4"/>
  <c r="B72" i="4"/>
  <c r="AN211" i="4"/>
  <c r="AN147" i="4"/>
  <c r="AN83" i="4"/>
  <c r="AN19" i="4"/>
  <c r="AN16" i="4"/>
  <c r="AN194" i="4"/>
  <c r="AN48" i="4"/>
  <c r="AN112" i="4"/>
  <c r="AN29" i="4"/>
  <c r="AN158" i="4"/>
  <c r="AN109" i="4"/>
  <c r="AN64" i="4"/>
  <c r="AN141" i="4"/>
  <c r="AN168" i="4"/>
  <c r="AN40" i="4"/>
  <c r="AN102" i="4"/>
  <c r="AN181" i="4"/>
  <c r="AN53" i="4"/>
  <c r="AN120" i="4"/>
  <c r="AN178" i="4"/>
  <c r="AN54" i="4"/>
  <c r="AN133" i="4"/>
  <c r="AN5" i="4"/>
  <c r="AN148" i="4"/>
  <c r="AN84" i="4"/>
  <c r="AN20" i="4"/>
  <c r="AN138" i="4"/>
  <c r="AN74" i="4"/>
  <c r="AN10" i="4"/>
  <c r="AN153" i="4"/>
  <c r="AN89" i="4"/>
  <c r="AN25" i="4"/>
  <c r="AN124" i="4"/>
  <c r="AN60" i="4"/>
  <c r="AN98" i="4"/>
  <c r="AN34" i="4"/>
  <c r="AN177" i="4"/>
  <c r="AN113" i="4"/>
  <c r="AN49" i="4"/>
  <c r="AN97" i="4"/>
  <c r="AN163" i="4"/>
  <c r="AN99" i="4"/>
  <c r="AN35" i="4"/>
  <c r="AN125" i="4"/>
  <c r="AN144" i="4"/>
  <c r="AN176" i="4"/>
  <c r="AN93" i="4"/>
  <c r="AN157" i="4"/>
  <c r="AN32" i="4"/>
  <c r="AN173" i="4"/>
  <c r="AN128" i="4"/>
  <c r="AN205" i="4"/>
  <c r="AN200" i="4"/>
  <c r="AN72" i="4"/>
  <c r="AN134" i="4"/>
  <c r="AN6" i="4"/>
  <c r="AN85" i="4"/>
  <c r="AN152" i="4"/>
  <c r="AN24" i="4"/>
  <c r="AN86" i="4"/>
  <c r="AN165" i="4"/>
  <c r="AN37" i="4"/>
  <c r="AN164" i="4"/>
  <c r="AN100" i="4"/>
  <c r="AN36" i="4"/>
  <c r="AN154" i="4"/>
  <c r="AN90" i="4"/>
  <c r="AN26" i="4"/>
  <c r="AN169" i="4"/>
  <c r="AN105" i="4"/>
  <c r="AN41" i="4"/>
  <c r="AN204" i="4"/>
  <c r="AN140" i="4"/>
  <c r="AN76" i="4"/>
  <c r="AN12" i="4"/>
  <c r="AN114" i="4"/>
  <c r="AN50" i="4"/>
  <c r="AN193" i="4"/>
  <c r="AN129" i="4"/>
  <c r="AN65" i="4"/>
  <c r="AN188" i="4"/>
  <c r="AN67" i="4"/>
  <c r="AN186" i="4"/>
  <c r="AN142" i="4"/>
  <c r="AN160" i="4"/>
  <c r="AN45" i="4"/>
  <c r="AN77" i="4"/>
  <c r="AN8" i="4"/>
  <c r="AN149" i="4"/>
  <c r="AN88" i="4"/>
  <c r="AN150" i="4"/>
  <c r="AN101" i="4"/>
  <c r="AN132" i="4"/>
  <c r="AN4" i="4"/>
  <c r="AN58" i="4"/>
  <c r="AN137" i="4"/>
  <c r="AN9" i="4"/>
  <c r="AN108" i="4"/>
  <c r="AN146" i="4"/>
  <c r="AN18" i="4"/>
  <c r="AN33" i="4"/>
  <c r="AN162" i="4"/>
  <c r="AN195" i="4"/>
  <c r="AN131" i="4"/>
  <c r="AN3" i="4"/>
  <c r="AN110" i="4"/>
  <c r="AN182" i="4"/>
  <c r="AN94" i="4"/>
  <c r="AN126" i="4"/>
  <c r="AN136" i="4"/>
  <c r="AN70" i="4"/>
  <c r="AN21" i="4"/>
  <c r="AN22" i="4"/>
  <c r="AN196" i="4"/>
  <c r="AN68" i="4"/>
  <c r="AN122" i="4"/>
  <c r="AN201" i="4"/>
  <c r="AN73" i="4"/>
  <c r="AN172" i="4"/>
  <c r="AN44" i="4"/>
  <c r="AN82" i="4"/>
  <c r="AN161" i="4"/>
  <c r="B79" i="4"/>
  <c r="AB11" i="10"/>
  <c r="AB16" i="10"/>
  <c r="AB13" i="10"/>
  <c r="AB7" i="10"/>
  <c r="AB5" i="10"/>
  <c r="AB8" i="10"/>
  <c r="AB3" i="10"/>
  <c r="AL2" i="4"/>
  <c r="B98" i="3"/>
  <c r="B96" i="3"/>
  <c r="B97" i="3"/>
  <c r="E5" i="13"/>
  <c r="B11" i="13" s="1"/>
  <c r="D11" i="13" s="1"/>
  <c r="D5" i="13"/>
  <c r="B12" i="13" s="1"/>
  <c r="D12" i="13" s="1"/>
  <c r="C86" i="4" l="1"/>
  <c r="C89" i="4" s="1"/>
  <c r="B86" i="4"/>
  <c r="B83" i="4" s="1"/>
  <c r="B84" i="4" s="1"/>
  <c r="B63" i="4"/>
  <c r="R30" i="4" s="1"/>
  <c r="R162" i="4"/>
  <c r="R200" i="4"/>
  <c r="R198" i="4"/>
  <c r="R155" i="4"/>
  <c r="R189" i="4"/>
  <c r="R79" i="4"/>
  <c r="R25" i="4"/>
  <c r="R58" i="4"/>
  <c r="R104" i="4"/>
  <c r="R45" i="4"/>
  <c r="R106" i="4"/>
  <c r="R44" i="4"/>
  <c r="R195" i="4"/>
  <c r="R14" i="4"/>
  <c r="R107" i="4"/>
  <c r="R53" i="4"/>
  <c r="R202" i="4"/>
  <c r="R129" i="4"/>
  <c r="R66" i="4"/>
  <c r="R96" i="4"/>
  <c r="R84" i="4"/>
  <c r="R171" i="4"/>
  <c r="R68" i="4"/>
  <c r="B77" i="4"/>
  <c r="R39" i="4"/>
  <c r="R86" i="4"/>
  <c r="R183" i="4"/>
  <c r="B75" i="4"/>
  <c r="R31" i="4"/>
  <c r="R76" i="4"/>
  <c r="R98" i="4"/>
  <c r="R93" i="4"/>
  <c r="R22" i="4"/>
  <c r="R154" i="4"/>
  <c r="R152" i="4"/>
  <c r="R50" i="4"/>
  <c r="R11" i="4"/>
  <c r="R120" i="4"/>
  <c r="R194" i="4"/>
  <c r="R156" i="4"/>
  <c r="R110" i="4"/>
  <c r="R13" i="4"/>
  <c r="R46" i="4"/>
  <c r="R166" i="4"/>
  <c r="R35" i="4"/>
  <c r="R10" i="4"/>
  <c r="R133" i="4"/>
  <c r="R127" i="4"/>
  <c r="R28" i="4"/>
  <c r="R36" i="4"/>
  <c r="R16" i="4"/>
  <c r="R48" i="4"/>
  <c r="R126" i="4"/>
  <c r="R112" i="4"/>
  <c r="R18" i="4"/>
  <c r="R37" i="4"/>
  <c r="R119" i="4"/>
  <c r="R19" i="4"/>
  <c r="R147" i="4"/>
  <c r="R207" i="4"/>
  <c r="R188" i="4"/>
  <c r="R43" i="4"/>
  <c r="R196" i="4"/>
  <c r="R139" i="4"/>
  <c r="R5" i="4"/>
  <c r="R7" i="4"/>
  <c r="R141" i="4"/>
  <c r="R4" i="4"/>
  <c r="R89" i="4"/>
  <c r="R60" i="4"/>
  <c r="R109" i="4"/>
  <c r="R163" i="4"/>
  <c r="R182" i="4"/>
  <c r="R54" i="4"/>
  <c r="R148" i="4"/>
  <c r="R105" i="4"/>
  <c r="R121" i="4"/>
  <c r="R180" i="4"/>
  <c r="R100" i="4"/>
  <c r="R125" i="4"/>
  <c r="R21" i="4"/>
  <c r="R199" i="4"/>
  <c r="R140" i="4"/>
  <c r="R91" i="4"/>
  <c r="R33" i="4"/>
  <c r="R27" i="4"/>
  <c r="R192" i="4"/>
  <c r="R201" i="4"/>
  <c r="R193" i="4"/>
  <c r="R123" i="4"/>
  <c r="R81" i="4"/>
  <c r="R173" i="4"/>
  <c r="R71" i="4"/>
  <c r="R179" i="4"/>
  <c r="R134" i="4"/>
  <c r="R85" i="4"/>
  <c r="R205" i="4"/>
  <c r="R80" i="4"/>
  <c r="R210" i="4"/>
  <c r="R62" i="4"/>
  <c r="R212" i="4"/>
  <c r="R138" i="4"/>
  <c r="R128" i="4"/>
  <c r="R90" i="4"/>
  <c r="R164" i="4"/>
  <c r="R187" i="4"/>
  <c r="R143" i="4"/>
  <c r="R20" i="4"/>
  <c r="R111" i="4"/>
  <c r="R184" i="4"/>
  <c r="R175" i="4"/>
  <c r="R82" i="4"/>
  <c r="R136" i="4"/>
  <c r="R208" i="4"/>
  <c r="R23" i="4"/>
  <c r="R32" i="4"/>
  <c r="R209" i="4"/>
  <c r="B78" i="4"/>
  <c r="R57" i="4"/>
  <c r="R211" i="4"/>
  <c r="R204" i="4"/>
  <c r="R117" i="4"/>
  <c r="R95" i="4"/>
  <c r="R108" i="4"/>
  <c r="R6" i="4"/>
  <c r="R115" i="4"/>
  <c r="R15" i="4"/>
  <c r="R150" i="4"/>
  <c r="R161" i="4"/>
  <c r="R186" i="4"/>
  <c r="R114" i="4"/>
  <c r="R122" i="4"/>
  <c r="R9" i="4"/>
  <c r="R29" i="4"/>
  <c r="R176" i="4"/>
  <c r="R26" i="4"/>
  <c r="R197" i="4"/>
  <c r="R124" i="4"/>
  <c r="R3" i="4"/>
  <c r="R78" i="4"/>
  <c r="R169" i="4"/>
  <c r="R203" i="4"/>
  <c r="R94" i="4"/>
  <c r="R158" i="4"/>
  <c r="R149" i="4"/>
  <c r="R165" i="4"/>
  <c r="R63" i="4"/>
  <c r="R12" i="4"/>
  <c r="R69" i="4"/>
  <c r="R70" i="4"/>
  <c r="R17" i="4"/>
  <c r="R153" i="4"/>
  <c r="R55" i="4"/>
  <c r="R34" i="4"/>
  <c r="R131" i="4"/>
  <c r="R88" i="4"/>
  <c r="R24" i="4"/>
  <c r="R47" i="4"/>
  <c r="R177" i="4"/>
  <c r="R40" i="4"/>
  <c r="R146" i="4"/>
  <c r="R132" i="4"/>
  <c r="R145" i="4"/>
  <c r="R92" i="4"/>
  <c r="R87" i="4"/>
  <c r="R56" i="4"/>
  <c r="R38" i="4"/>
  <c r="R77" i="4"/>
  <c r="R172" i="4"/>
  <c r="R101" i="4"/>
  <c r="R65" i="4"/>
  <c r="R51" i="4"/>
  <c r="R170" i="4"/>
  <c r="R103" i="4"/>
  <c r="R137" i="4"/>
  <c r="R174" i="4"/>
  <c r="R64" i="4"/>
  <c r="R8" i="4"/>
  <c r="R73" i="4"/>
  <c r="B89" i="4"/>
  <c r="AM196" i="4" s="1"/>
  <c r="AO196" i="4" s="1"/>
  <c r="AP196" i="4" s="1"/>
  <c r="S196" i="4" s="1"/>
  <c r="N196" i="4" s="1"/>
  <c r="AB6" i="10"/>
  <c r="AB17" i="10"/>
  <c r="AB4" i="10"/>
  <c r="AB12" i="10"/>
  <c r="AB15" i="10"/>
  <c r="AB2" i="10"/>
  <c r="B53" i="3" s="1"/>
  <c r="R168" i="4"/>
  <c r="R83" i="4"/>
  <c r="R151" i="4"/>
  <c r="R160" i="4"/>
  <c r="R167" i="4"/>
  <c r="AS2" i="4"/>
  <c r="AS6" i="4"/>
  <c r="AT6" i="4" s="1"/>
  <c r="AS22" i="4"/>
  <c r="AT22" i="4" s="1"/>
  <c r="AS38" i="4"/>
  <c r="AT38" i="4" s="1"/>
  <c r="AS54" i="4"/>
  <c r="AT54" i="4" s="1"/>
  <c r="AS70" i="4"/>
  <c r="AT70" i="4" s="1"/>
  <c r="AS86" i="4"/>
  <c r="AT86" i="4" s="1"/>
  <c r="AS102" i="4"/>
  <c r="AT102" i="4" s="1"/>
  <c r="AS118" i="4"/>
  <c r="AT118" i="4" s="1"/>
  <c r="AS134" i="4"/>
  <c r="AT134" i="4" s="1"/>
  <c r="AS150" i="4"/>
  <c r="AT150" i="4" s="1"/>
  <c r="AS166" i="4"/>
  <c r="AT166" i="4" s="1"/>
  <c r="AS182" i="4"/>
  <c r="AT182" i="4" s="1"/>
  <c r="AS198" i="4"/>
  <c r="AT198" i="4" s="1"/>
  <c r="AS211" i="4"/>
  <c r="AT211" i="4" s="1"/>
  <c r="AS15" i="4"/>
  <c r="AT15" i="4" s="1"/>
  <c r="AS31" i="4"/>
  <c r="AT31" i="4" s="1"/>
  <c r="AS47" i="4"/>
  <c r="AT47" i="4" s="1"/>
  <c r="AS63" i="4"/>
  <c r="AT63" i="4" s="1"/>
  <c r="AS79" i="4"/>
  <c r="AT79" i="4" s="1"/>
  <c r="AS95" i="4"/>
  <c r="AT95" i="4" s="1"/>
  <c r="AS111" i="4"/>
  <c r="AT111" i="4" s="1"/>
  <c r="AS127" i="4"/>
  <c r="AT127" i="4" s="1"/>
  <c r="AS143" i="4"/>
  <c r="AT143" i="4" s="1"/>
  <c r="AS159" i="4"/>
  <c r="AT159" i="4" s="1"/>
  <c r="AS175" i="4"/>
  <c r="AT175" i="4" s="1"/>
  <c r="AS191" i="4"/>
  <c r="AT191" i="4" s="1"/>
  <c r="AS207" i="4"/>
  <c r="AT207" i="4" s="1"/>
  <c r="AS16" i="4"/>
  <c r="AT16" i="4" s="1"/>
  <c r="AS32" i="4"/>
  <c r="AT32" i="4" s="1"/>
  <c r="AS48" i="4"/>
  <c r="AT48" i="4" s="1"/>
  <c r="AS64" i="4"/>
  <c r="AT64" i="4" s="1"/>
  <c r="AS80" i="4"/>
  <c r="AT80" i="4" s="1"/>
  <c r="AS96" i="4"/>
  <c r="AT96" i="4" s="1"/>
  <c r="AS112" i="4"/>
  <c r="AT112" i="4" s="1"/>
  <c r="AS128" i="4"/>
  <c r="AT128" i="4" s="1"/>
  <c r="AS144" i="4"/>
  <c r="AT144" i="4" s="1"/>
  <c r="AS160" i="4"/>
  <c r="AT160" i="4" s="1"/>
  <c r="AS176" i="4"/>
  <c r="AT176" i="4" s="1"/>
  <c r="AS192" i="4"/>
  <c r="AT192" i="4" s="1"/>
  <c r="AS208" i="4"/>
  <c r="AT208" i="4" s="1"/>
  <c r="AS13" i="4"/>
  <c r="AT13" i="4" s="1"/>
  <c r="AS29" i="4"/>
  <c r="AT29" i="4" s="1"/>
  <c r="AS45" i="4"/>
  <c r="AT45" i="4" s="1"/>
  <c r="AS61" i="4"/>
  <c r="AT61" i="4" s="1"/>
  <c r="AS77" i="4"/>
  <c r="AT77" i="4" s="1"/>
  <c r="AS93" i="4"/>
  <c r="AT93" i="4" s="1"/>
  <c r="AS109" i="4"/>
  <c r="AT109" i="4" s="1"/>
  <c r="AS125" i="4"/>
  <c r="AT125" i="4" s="1"/>
  <c r="AS141" i="4"/>
  <c r="AT141" i="4" s="1"/>
  <c r="AS157" i="4"/>
  <c r="AT157" i="4" s="1"/>
  <c r="AS173" i="4"/>
  <c r="AT173" i="4" s="1"/>
  <c r="AS189" i="4"/>
  <c r="AT189" i="4" s="1"/>
  <c r="AS205" i="4"/>
  <c r="AT205" i="4" s="1"/>
  <c r="AS177" i="4"/>
  <c r="AT177" i="4" s="1"/>
  <c r="AS209" i="4"/>
  <c r="AT209" i="4" s="1"/>
  <c r="AS5" i="4"/>
  <c r="AT5" i="4" s="1"/>
  <c r="AS69" i="4"/>
  <c r="AT69" i="4" s="1"/>
  <c r="AS117" i="4"/>
  <c r="AT117" i="4" s="1"/>
  <c r="AS181" i="4"/>
  <c r="AT181" i="4" s="1"/>
  <c r="AS10" i="4"/>
  <c r="AT10" i="4" s="1"/>
  <c r="AS26" i="4"/>
  <c r="AT26" i="4" s="1"/>
  <c r="AS42" i="4"/>
  <c r="AT42" i="4" s="1"/>
  <c r="AS58" i="4"/>
  <c r="AT58" i="4" s="1"/>
  <c r="AS74" i="4"/>
  <c r="AT74" i="4" s="1"/>
  <c r="AS90" i="4"/>
  <c r="AT90" i="4" s="1"/>
  <c r="AS106" i="4"/>
  <c r="AT106" i="4" s="1"/>
  <c r="AS122" i="4"/>
  <c r="AT122" i="4" s="1"/>
  <c r="AS138" i="4"/>
  <c r="AT138" i="4" s="1"/>
  <c r="AS154" i="4"/>
  <c r="AT154" i="4" s="1"/>
  <c r="AS170" i="4"/>
  <c r="AT170" i="4" s="1"/>
  <c r="AS186" i="4"/>
  <c r="AT186" i="4" s="1"/>
  <c r="AS202" i="4"/>
  <c r="AT202" i="4" s="1"/>
  <c r="AS3" i="4"/>
  <c r="AT3" i="4" s="1"/>
  <c r="AS19" i="4"/>
  <c r="AT19" i="4" s="1"/>
  <c r="AS35" i="4"/>
  <c r="AT35" i="4" s="1"/>
  <c r="AS51" i="4"/>
  <c r="AT51" i="4" s="1"/>
  <c r="AS67" i="4"/>
  <c r="AT67" i="4" s="1"/>
  <c r="AS83" i="4"/>
  <c r="AT83" i="4" s="1"/>
  <c r="AS99" i="4"/>
  <c r="AT99" i="4" s="1"/>
  <c r="AS115" i="4"/>
  <c r="AT115" i="4" s="1"/>
  <c r="AS131" i="4"/>
  <c r="AT131" i="4" s="1"/>
  <c r="AS147" i="4"/>
  <c r="AT147" i="4" s="1"/>
  <c r="AS163" i="4"/>
  <c r="AT163" i="4" s="1"/>
  <c r="AS179" i="4"/>
  <c r="AT179" i="4" s="1"/>
  <c r="AS195" i="4"/>
  <c r="AT195" i="4" s="1"/>
  <c r="AS4" i="4"/>
  <c r="AT4" i="4" s="1"/>
  <c r="AS20" i="4"/>
  <c r="AT20" i="4" s="1"/>
  <c r="AS36" i="4"/>
  <c r="AT36" i="4" s="1"/>
  <c r="AS52" i="4"/>
  <c r="AT52" i="4" s="1"/>
  <c r="AS68" i="4"/>
  <c r="AT68" i="4" s="1"/>
  <c r="AS84" i="4"/>
  <c r="AT84" i="4" s="1"/>
  <c r="AS100" i="4"/>
  <c r="AT100" i="4" s="1"/>
  <c r="AS116" i="4"/>
  <c r="AT116" i="4" s="1"/>
  <c r="AS132" i="4"/>
  <c r="AT132" i="4" s="1"/>
  <c r="AS148" i="4"/>
  <c r="AT148" i="4" s="1"/>
  <c r="AS164" i="4"/>
  <c r="AT164" i="4" s="1"/>
  <c r="AS180" i="4"/>
  <c r="AT180" i="4" s="1"/>
  <c r="AS196" i="4"/>
  <c r="AT196" i="4" s="1"/>
  <c r="AS212" i="4"/>
  <c r="AT212" i="4" s="1"/>
  <c r="AS17" i="4"/>
  <c r="AT17" i="4" s="1"/>
  <c r="AS33" i="4"/>
  <c r="AT33" i="4" s="1"/>
  <c r="AS49" i="4"/>
  <c r="AT49" i="4" s="1"/>
  <c r="AS65" i="4"/>
  <c r="AT65" i="4" s="1"/>
  <c r="AS81" i="4"/>
  <c r="AT81" i="4" s="1"/>
  <c r="AS97" i="4"/>
  <c r="AT97" i="4" s="1"/>
  <c r="AS113" i="4"/>
  <c r="AT113" i="4" s="1"/>
  <c r="AS129" i="4"/>
  <c r="AT129" i="4" s="1"/>
  <c r="AS145" i="4"/>
  <c r="AT145" i="4" s="1"/>
  <c r="AS161" i="4"/>
  <c r="AT161" i="4" s="1"/>
  <c r="AS193" i="4"/>
  <c r="AT193" i="4" s="1"/>
  <c r="AS184" i="4"/>
  <c r="AT184" i="4" s="1"/>
  <c r="AS37" i="4"/>
  <c r="AT37" i="4" s="1"/>
  <c r="AS101" i="4"/>
  <c r="AT101" i="4" s="1"/>
  <c r="AS165" i="4"/>
  <c r="AT165" i="4" s="1"/>
  <c r="AS14" i="4"/>
  <c r="AT14" i="4" s="1"/>
  <c r="AS30" i="4"/>
  <c r="AT30" i="4" s="1"/>
  <c r="AS46" i="4"/>
  <c r="AT46" i="4" s="1"/>
  <c r="AS62" i="4"/>
  <c r="AT62" i="4" s="1"/>
  <c r="AS78" i="4"/>
  <c r="AT78" i="4" s="1"/>
  <c r="AS94" i="4"/>
  <c r="AT94" i="4" s="1"/>
  <c r="AS110" i="4"/>
  <c r="AT110" i="4" s="1"/>
  <c r="AS126" i="4"/>
  <c r="AT126" i="4" s="1"/>
  <c r="AS142" i="4"/>
  <c r="AT142" i="4" s="1"/>
  <c r="AS158" i="4"/>
  <c r="AT158" i="4" s="1"/>
  <c r="AS174" i="4"/>
  <c r="AT174" i="4" s="1"/>
  <c r="AS190" i="4"/>
  <c r="AT190" i="4" s="1"/>
  <c r="AS206" i="4"/>
  <c r="AT206" i="4" s="1"/>
  <c r="AS7" i="4"/>
  <c r="AT7" i="4" s="1"/>
  <c r="AS23" i="4"/>
  <c r="AT23" i="4" s="1"/>
  <c r="AS39" i="4"/>
  <c r="AT39" i="4" s="1"/>
  <c r="AS55" i="4"/>
  <c r="AT55" i="4" s="1"/>
  <c r="AS71" i="4"/>
  <c r="AT71" i="4" s="1"/>
  <c r="AS87" i="4"/>
  <c r="AT87" i="4" s="1"/>
  <c r="AS103" i="4"/>
  <c r="AT103" i="4" s="1"/>
  <c r="AS119" i="4"/>
  <c r="AT119" i="4" s="1"/>
  <c r="AS135" i="4"/>
  <c r="AT135" i="4" s="1"/>
  <c r="AS151" i="4"/>
  <c r="AT151" i="4" s="1"/>
  <c r="AS167" i="4"/>
  <c r="AT167" i="4" s="1"/>
  <c r="AS183" i="4"/>
  <c r="AT183" i="4" s="1"/>
  <c r="AS199" i="4"/>
  <c r="AT199" i="4" s="1"/>
  <c r="AS8" i="4"/>
  <c r="AT8" i="4" s="1"/>
  <c r="AS24" i="4"/>
  <c r="AT24" i="4" s="1"/>
  <c r="AS40" i="4"/>
  <c r="AT40" i="4" s="1"/>
  <c r="AS56" i="4"/>
  <c r="AT56" i="4" s="1"/>
  <c r="AS72" i="4"/>
  <c r="AT72" i="4" s="1"/>
  <c r="AS88" i="4"/>
  <c r="AT88" i="4" s="1"/>
  <c r="AS104" i="4"/>
  <c r="AT104" i="4" s="1"/>
  <c r="AS120" i="4"/>
  <c r="AT120" i="4" s="1"/>
  <c r="AS136" i="4"/>
  <c r="AT136" i="4" s="1"/>
  <c r="AS152" i="4"/>
  <c r="AT152" i="4" s="1"/>
  <c r="AS168" i="4"/>
  <c r="AT168" i="4" s="1"/>
  <c r="AS200" i="4"/>
  <c r="AT200" i="4" s="1"/>
  <c r="AS53" i="4"/>
  <c r="AT53" i="4" s="1"/>
  <c r="AS133" i="4"/>
  <c r="AT133" i="4" s="1"/>
  <c r="AS197" i="4"/>
  <c r="AT197" i="4" s="1"/>
  <c r="AS18" i="4"/>
  <c r="AT18" i="4" s="1"/>
  <c r="AS34" i="4"/>
  <c r="AT34" i="4" s="1"/>
  <c r="AS50" i="4"/>
  <c r="AT50" i="4" s="1"/>
  <c r="AS66" i="4"/>
  <c r="AT66" i="4" s="1"/>
  <c r="AS82" i="4"/>
  <c r="AT82" i="4" s="1"/>
  <c r="AS98" i="4"/>
  <c r="AT98" i="4" s="1"/>
  <c r="AS114" i="4"/>
  <c r="AT114" i="4" s="1"/>
  <c r="AS130" i="4"/>
  <c r="AT130" i="4" s="1"/>
  <c r="AS146" i="4"/>
  <c r="AT146" i="4" s="1"/>
  <c r="AS162" i="4"/>
  <c r="AT162" i="4" s="1"/>
  <c r="AS178" i="4"/>
  <c r="AT178" i="4" s="1"/>
  <c r="AS194" i="4"/>
  <c r="AT194" i="4" s="1"/>
  <c r="AS210" i="4"/>
  <c r="AT210" i="4" s="1"/>
  <c r="AS11" i="4"/>
  <c r="AT11" i="4" s="1"/>
  <c r="AS27" i="4"/>
  <c r="AT27" i="4" s="1"/>
  <c r="AS43" i="4"/>
  <c r="AT43" i="4" s="1"/>
  <c r="AS59" i="4"/>
  <c r="AT59" i="4" s="1"/>
  <c r="AS75" i="4"/>
  <c r="AT75" i="4" s="1"/>
  <c r="AS91" i="4"/>
  <c r="AT91" i="4" s="1"/>
  <c r="AS107" i="4"/>
  <c r="AT107" i="4" s="1"/>
  <c r="AS123" i="4"/>
  <c r="AT123" i="4" s="1"/>
  <c r="AS139" i="4"/>
  <c r="AT139" i="4" s="1"/>
  <c r="AS155" i="4"/>
  <c r="AT155" i="4" s="1"/>
  <c r="AS171" i="4"/>
  <c r="AT171" i="4" s="1"/>
  <c r="AS187" i="4"/>
  <c r="AT187" i="4" s="1"/>
  <c r="AS203" i="4"/>
  <c r="AT203" i="4" s="1"/>
  <c r="AS12" i="4"/>
  <c r="AT12" i="4" s="1"/>
  <c r="AS28" i="4"/>
  <c r="AT28" i="4" s="1"/>
  <c r="AS44" i="4"/>
  <c r="AT44" i="4" s="1"/>
  <c r="AS60" i="4"/>
  <c r="AT60" i="4" s="1"/>
  <c r="AS76" i="4"/>
  <c r="AT76" i="4" s="1"/>
  <c r="AS92" i="4"/>
  <c r="AT92" i="4" s="1"/>
  <c r="AS108" i="4"/>
  <c r="AT108" i="4" s="1"/>
  <c r="AS124" i="4"/>
  <c r="AT124" i="4" s="1"/>
  <c r="AS140" i="4"/>
  <c r="AT140" i="4" s="1"/>
  <c r="AS156" i="4"/>
  <c r="AT156" i="4" s="1"/>
  <c r="AS172" i="4"/>
  <c r="AT172" i="4" s="1"/>
  <c r="AS188" i="4"/>
  <c r="AT188" i="4" s="1"/>
  <c r="AS204" i="4"/>
  <c r="AT204" i="4" s="1"/>
  <c r="AS9" i="4"/>
  <c r="AT9" i="4" s="1"/>
  <c r="AS25" i="4"/>
  <c r="AT25" i="4" s="1"/>
  <c r="AS41" i="4"/>
  <c r="AT41" i="4" s="1"/>
  <c r="AS57" i="4"/>
  <c r="AT57" i="4" s="1"/>
  <c r="AS73" i="4"/>
  <c r="AT73" i="4" s="1"/>
  <c r="AS89" i="4"/>
  <c r="AT89" i="4" s="1"/>
  <c r="AS105" i="4"/>
  <c r="AT105" i="4" s="1"/>
  <c r="AS121" i="4"/>
  <c r="AT121" i="4" s="1"/>
  <c r="AS137" i="4"/>
  <c r="AT137" i="4" s="1"/>
  <c r="AS153" i="4"/>
  <c r="AT153" i="4" s="1"/>
  <c r="AS169" i="4"/>
  <c r="AT169" i="4" s="1"/>
  <c r="AS185" i="4"/>
  <c r="AT185" i="4" s="1"/>
  <c r="AS201" i="4"/>
  <c r="AT201" i="4" s="1"/>
  <c r="AS21" i="4"/>
  <c r="AT21" i="4" s="1"/>
  <c r="AS85" i="4"/>
  <c r="AT85" i="4" s="1"/>
  <c r="AS149" i="4"/>
  <c r="AT149" i="4" s="1"/>
  <c r="AT2" i="4"/>
  <c r="AV2" i="4" s="1"/>
  <c r="R144" i="4"/>
  <c r="R2" i="4"/>
  <c r="R49" i="4" l="1"/>
  <c r="R99" i="4"/>
  <c r="R59" i="4"/>
  <c r="R206" i="4"/>
  <c r="R118" i="4"/>
  <c r="R159" i="4"/>
  <c r="R74" i="4"/>
  <c r="R75" i="4"/>
  <c r="R102" i="4"/>
  <c r="R191" i="4"/>
  <c r="R135" i="4"/>
  <c r="R157" i="4"/>
  <c r="R61" i="4"/>
  <c r="R142" i="4"/>
  <c r="R185" i="4"/>
  <c r="R181" i="4"/>
  <c r="R190" i="4"/>
  <c r="R97" i="4"/>
  <c r="R67" i="4"/>
  <c r="R178" i="4"/>
  <c r="R116" i="4"/>
  <c r="R113" i="4"/>
  <c r="R42" i="4"/>
  <c r="R130" i="4"/>
  <c r="R41" i="4"/>
  <c r="B76" i="4"/>
  <c r="U53" i="4" s="1"/>
  <c r="V53" i="4" s="1"/>
  <c r="R52" i="4"/>
  <c r="R72" i="4"/>
  <c r="AM92" i="4"/>
  <c r="AO92" i="4" s="1"/>
  <c r="AQ92" i="4" s="1"/>
  <c r="T92" i="4" s="1"/>
  <c r="O92" i="4" s="1"/>
  <c r="AM21" i="4"/>
  <c r="AO21" i="4" s="1"/>
  <c r="AQ21" i="4" s="1"/>
  <c r="T21" i="4" s="1"/>
  <c r="AM142" i="4"/>
  <c r="AM157" i="4"/>
  <c r="AO157" i="4" s="1"/>
  <c r="AP157" i="4" s="1"/>
  <c r="S157" i="4" s="1"/>
  <c r="N157" i="4" s="1"/>
  <c r="AM77" i="4"/>
  <c r="AO77" i="4" s="1"/>
  <c r="AP77" i="4" s="1"/>
  <c r="S77" i="4" s="1"/>
  <c r="N77" i="4" s="1"/>
  <c r="AM165" i="4"/>
  <c r="AO165" i="4" s="1"/>
  <c r="AP165" i="4" s="1"/>
  <c r="S165" i="4" s="1"/>
  <c r="N165" i="4" s="1"/>
  <c r="AM110" i="4"/>
  <c r="AO110" i="4" s="1"/>
  <c r="AQ110" i="4" s="1"/>
  <c r="T110" i="4" s="1"/>
  <c r="O110" i="4" s="1"/>
  <c r="AM121" i="4"/>
  <c r="AO121" i="4" s="1"/>
  <c r="AP121" i="4" s="1"/>
  <c r="S121" i="4" s="1"/>
  <c r="N121" i="4" s="1"/>
  <c r="AM122" i="4"/>
  <c r="AO122" i="4" s="1"/>
  <c r="AP122" i="4" s="1"/>
  <c r="S122" i="4" s="1"/>
  <c r="N122" i="4" s="1"/>
  <c r="U140" i="4"/>
  <c r="V140" i="4" s="1"/>
  <c r="AU2" i="4"/>
  <c r="AM83" i="4"/>
  <c r="AO83" i="4" s="1"/>
  <c r="AM66" i="4"/>
  <c r="AO66" i="4" s="1"/>
  <c r="AP66" i="4" s="1"/>
  <c r="S66" i="4" s="1"/>
  <c r="N66" i="4" s="1"/>
  <c r="AM17" i="4"/>
  <c r="AO17" i="4" s="1"/>
  <c r="AP17" i="4" s="1"/>
  <c r="S17" i="4" s="1"/>
  <c r="N17" i="4" s="1"/>
  <c r="AM107" i="4"/>
  <c r="AO107" i="4" s="1"/>
  <c r="AQ107" i="4" s="1"/>
  <c r="T107" i="4" s="1"/>
  <c r="O107" i="4" s="1"/>
  <c r="AM159" i="4"/>
  <c r="AO159" i="4" s="1"/>
  <c r="AP159" i="4" s="1"/>
  <c r="S159" i="4" s="1"/>
  <c r="N159" i="4" s="1"/>
  <c r="AM30" i="4"/>
  <c r="AO30" i="4" s="1"/>
  <c r="AM161" i="4"/>
  <c r="AO161" i="4" s="1"/>
  <c r="AM98" i="4"/>
  <c r="AO98" i="4" s="1"/>
  <c r="AQ98" i="4" s="1"/>
  <c r="T98" i="4" s="1"/>
  <c r="AM153" i="4"/>
  <c r="AO153" i="4" s="1"/>
  <c r="AQ153" i="4" s="1"/>
  <c r="T153" i="4" s="1"/>
  <c r="O153" i="4" s="1"/>
  <c r="AM48" i="4"/>
  <c r="AO48" i="4" s="1"/>
  <c r="AQ48" i="4" s="1"/>
  <c r="T48" i="4" s="1"/>
  <c r="O48" i="4" s="1"/>
  <c r="AM4" i="4"/>
  <c r="AO4" i="4" s="1"/>
  <c r="AP4" i="4" s="1"/>
  <c r="S4" i="4" s="1"/>
  <c r="N4" i="4" s="1"/>
  <c r="AM2" i="4"/>
  <c r="AM36" i="4"/>
  <c r="AO36" i="4" s="1"/>
  <c r="AQ36" i="4" s="1"/>
  <c r="T36" i="4" s="1"/>
  <c r="O36" i="4" s="1"/>
  <c r="AM46" i="4"/>
  <c r="AO46" i="4" s="1"/>
  <c r="AM134" i="4"/>
  <c r="AO134" i="4" s="1"/>
  <c r="AM177" i="4"/>
  <c r="AO177" i="4" s="1"/>
  <c r="AM182" i="4"/>
  <c r="AO182" i="4" s="1"/>
  <c r="AM126" i="4"/>
  <c r="AO126" i="4" s="1"/>
  <c r="AM132" i="4"/>
  <c r="AO132" i="4" s="1"/>
  <c r="AQ132" i="4" s="1"/>
  <c r="T132" i="4" s="1"/>
  <c r="AM143" i="4"/>
  <c r="AO143" i="4" s="1"/>
  <c r="AM79" i="4"/>
  <c r="AO79" i="4" s="1"/>
  <c r="AQ79" i="4" s="1"/>
  <c r="T79" i="4" s="1"/>
  <c r="O79" i="4" s="1"/>
  <c r="AM174" i="4"/>
  <c r="AO174" i="4" s="1"/>
  <c r="AM95" i="4"/>
  <c r="AO95" i="4" s="1"/>
  <c r="AM69" i="4"/>
  <c r="AO69" i="4" s="1"/>
  <c r="AM191" i="4"/>
  <c r="AO191" i="4" s="1"/>
  <c r="AM10" i="4"/>
  <c r="AO10" i="4" s="1"/>
  <c r="AM118" i="4"/>
  <c r="AO118" i="4" s="1"/>
  <c r="AM101" i="4"/>
  <c r="AO101" i="4" s="1"/>
  <c r="AM53" i="4"/>
  <c r="AO53" i="4" s="1"/>
  <c r="AM112" i="4"/>
  <c r="AO112" i="4" s="1"/>
  <c r="AM170" i="4"/>
  <c r="AO170" i="4" s="1"/>
  <c r="AM144" i="4"/>
  <c r="AO144" i="4" s="1"/>
  <c r="AP144" i="4" s="1"/>
  <c r="S144" i="4" s="1"/>
  <c r="N144" i="4" s="1"/>
  <c r="AM32" i="4"/>
  <c r="AO32" i="4" s="1"/>
  <c r="AM171" i="4"/>
  <c r="AO171" i="4" s="1"/>
  <c r="AP171" i="4" s="1"/>
  <c r="S171" i="4" s="1"/>
  <c r="N171" i="4" s="1"/>
  <c r="AM181" i="4"/>
  <c r="AO181" i="4" s="1"/>
  <c r="AM133" i="4"/>
  <c r="AO133" i="4" s="1"/>
  <c r="AM106" i="4"/>
  <c r="AO106" i="4" s="1"/>
  <c r="AM11" i="4"/>
  <c r="AO11" i="4" s="1"/>
  <c r="AM123" i="4"/>
  <c r="AO123" i="4" s="1"/>
  <c r="AM113" i="4"/>
  <c r="AO113" i="4" s="1"/>
  <c r="AM81" i="4"/>
  <c r="AO81" i="4" s="1"/>
  <c r="AM206" i="4"/>
  <c r="AO206" i="4" s="1"/>
  <c r="AM108" i="4"/>
  <c r="AO108" i="4" s="1"/>
  <c r="AM204" i="4"/>
  <c r="AO204" i="4" s="1"/>
  <c r="AQ204" i="4" s="1"/>
  <c r="T204" i="4" s="1"/>
  <c r="O204" i="4" s="1"/>
  <c r="AM124" i="4"/>
  <c r="AO124" i="4" s="1"/>
  <c r="AM209" i="4"/>
  <c r="AO209" i="4" s="1"/>
  <c r="AM102" i="4"/>
  <c r="AO102" i="4" s="1"/>
  <c r="AM119" i="4"/>
  <c r="AO119" i="4" s="1"/>
  <c r="AQ119" i="4" s="1"/>
  <c r="T119" i="4" s="1"/>
  <c r="O119" i="4" s="1"/>
  <c r="AM135" i="4"/>
  <c r="AO135" i="4" s="1"/>
  <c r="AQ135" i="4" s="1"/>
  <c r="T135" i="4" s="1"/>
  <c r="O135" i="4" s="1"/>
  <c r="AM71" i="4"/>
  <c r="AO71" i="4" s="1"/>
  <c r="AP71" i="4" s="1"/>
  <c r="S71" i="4" s="1"/>
  <c r="N71" i="4" s="1"/>
  <c r="AM193" i="4"/>
  <c r="AO193" i="4" s="1"/>
  <c r="AM141" i="4"/>
  <c r="AO141" i="4" s="1"/>
  <c r="AM93" i="4"/>
  <c r="AO93" i="4" s="1"/>
  <c r="AP93" i="4" s="1"/>
  <c r="S93" i="4" s="1"/>
  <c r="N93" i="4" s="1"/>
  <c r="AM190" i="4"/>
  <c r="AO190" i="4" s="1"/>
  <c r="AQ190" i="4" s="1"/>
  <c r="T190" i="4" s="1"/>
  <c r="O190" i="4" s="1"/>
  <c r="AM8" i="4"/>
  <c r="AO8" i="4" s="1"/>
  <c r="AQ8" i="4" s="1"/>
  <c r="T8" i="4" s="1"/>
  <c r="O8" i="4" s="1"/>
  <c r="AM186" i="4"/>
  <c r="AO186" i="4" s="1"/>
  <c r="AQ186" i="4" s="1"/>
  <c r="T186" i="4" s="1"/>
  <c r="O186" i="4" s="1"/>
  <c r="AM168" i="4"/>
  <c r="AO168" i="4" s="1"/>
  <c r="AM45" i="4"/>
  <c r="AO45" i="4" s="1"/>
  <c r="AP45" i="4" s="1"/>
  <c r="S45" i="4" s="1"/>
  <c r="N45" i="4" s="1"/>
  <c r="AM72" i="4"/>
  <c r="AO72" i="4" s="1"/>
  <c r="AQ72" i="4" s="1"/>
  <c r="T72" i="4" s="1"/>
  <c r="AM40" i="4"/>
  <c r="AM90" i="4"/>
  <c r="AO90" i="4" s="1"/>
  <c r="AQ90" i="4" s="1"/>
  <c r="T90" i="4" s="1"/>
  <c r="AM211" i="4"/>
  <c r="AO211" i="4" s="1"/>
  <c r="AQ211" i="4" s="1"/>
  <c r="T211" i="4" s="1"/>
  <c r="O211" i="4" s="1"/>
  <c r="AM131" i="4"/>
  <c r="AO131" i="4" s="1"/>
  <c r="AP131" i="4" s="1"/>
  <c r="S131" i="4" s="1"/>
  <c r="N131" i="4" s="1"/>
  <c r="AM3" i="4"/>
  <c r="AO3" i="4" s="1"/>
  <c r="AQ3" i="4" s="1"/>
  <c r="T3" i="4" s="1"/>
  <c r="O3" i="4" s="1"/>
  <c r="AM129" i="4"/>
  <c r="AO129" i="4" s="1"/>
  <c r="AM130" i="4"/>
  <c r="AO130" i="4" s="1"/>
  <c r="AP130" i="4" s="1"/>
  <c r="S130" i="4" s="1"/>
  <c r="N130" i="4" s="1"/>
  <c r="AM62" i="4"/>
  <c r="AO62" i="4" s="1"/>
  <c r="AM100" i="4"/>
  <c r="AO100" i="4" s="1"/>
  <c r="AP100" i="4" s="1"/>
  <c r="S100" i="4" s="1"/>
  <c r="N100" i="4" s="1"/>
  <c r="AM25" i="4"/>
  <c r="AO25" i="4" s="1"/>
  <c r="AM68" i="4"/>
  <c r="AO68" i="4" s="1"/>
  <c r="AQ68" i="4" s="1"/>
  <c r="T68" i="4" s="1"/>
  <c r="O68" i="4" s="1"/>
  <c r="AM52" i="4"/>
  <c r="AO52" i="4" s="1"/>
  <c r="AP52" i="4" s="1"/>
  <c r="S52" i="4" s="1"/>
  <c r="N52" i="4" s="1"/>
  <c r="AM78" i="4"/>
  <c r="AO78" i="4" s="1"/>
  <c r="AQ78" i="4" s="1"/>
  <c r="T78" i="4" s="1"/>
  <c r="O78" i="4" s="1"/>
  <c r="AM31" i="4"/>
  <c r="AO31" i="4" s="1"/>
  <c r="AM127" i="4"/>
  <c r="AO127" i="4" s="1"/>
  <c r="AP127" i="4" s="1"/>
  <c r="S127" i="4" s="1"/>
  <c r="N127" i="4" s="1"/>
  <c r="AM111" i="4"/>
  <c r="AO111" i="4" s="1"/>
  <c r="AP111" i="4" s="1"/>
  <c r="S111" i="4" s="1"/>
  <c r="N111" i="4" s="1"/>
  <c r="AM42" i="4"/>
  <c r="AO42" i="4" s="1"/>
  <c r="AQ42" i="4" s="1"/>
  <c r="T42" i="4" s="1"/>
  <c r="O42" i="4" s="1"/>
  <c r="AM160" i="4"/>
  <c r="AO160" i="4" s="1"/>
  <c r="AM197" i="4"/>
  <c r="AO197" i="4" s="1"/>
  <c r="AP197" i="4" s="1"/>
  <c r="S197" i="4" s="1"/>
  <c r="N197" i="4" s="1"/>
  <c r="AM145" i="4"/>
  <c r="AO145" i="4" s="1"/>
  <c r="AP145" i="4" s="1"/>
  <c r="S145" i="4" s="1"/>
  <c r="N145" i="4" s="1"/>
  <c r="AM203" i="4"/>
  <c r="AO203" i="4" s="1"/>
  <c r="AM80" i="4"/>
  <c r="AO80" i="4" s="1"/>
  <c r="AQ80" i="4" s="1"/>
  <c r="T80" i="4" s="1"/>
  <c r="O80" i="4" s="1"/>
  <c r="AM210" i="4"/>
  <c r="AO210" i="4" s="1"/>
  <c r="AM139" i="4"/>
  <c r="AO139" i="4" s="1"/>
  <c r="AP139" i="4" s="1"/>
  <c r="S139" i="4" s="1"/>
  <c r="N139" i="4" s="1"/>
  <c r="AM27" i="4"/>
  <c r="AO27" i="4" s="1"/>
  <c r="AP27" i="4" s="1"/>
  <c r="S27" i="4" s="1"/>
  <c r="N27" i="4" s="1"/>
  <c r="AM187" i="4"/>
  <c r="AO187" i="4" s="1"/>
  <c r="AP187" i="4" s="1"/>
  <c r="S187" i="4" s="1"/>
  <c r="N187" i="4" s="1"/>
  <c r="AM22" i="4"/>
  <c r="AO22" i="4" s="1"/>
  <c r="AQ22" i="4" s="1"/>
  <c r="T22" i="4" s="1"/>
  <c r="O22" i="4" s="1"/>
  <c r="AM185" i="4"/>
  <c r="AO185" i="4" s="1"/>
  <c r="AP185" i="4" s="1"/>
  <c r="S185" i="4" s="1"/>
  <c r="N185" i="4" s="1"/>
  <c r="AM158" i="4"/>
  <c r="AO158" i="4" s="1"/>
  <c r="AP158" i="4" s="1"/>
  <c r="S158" i="4" s="1"/>
  <c r="N158" i="4" s="1"/>
  <c r="AM140" i="4"/>
  <c r="AO140" i="4" s="1"/>
  <c r="AQ140" i="4" s="1"/>
  <c r="T140" i="4" s="1"/>
  <c r="O140" i="4" s="1"/>
  <c r="AM60" i="4"/>
  <c r="AO60" i="4" s="1"/>
  <c r="AQ60" i="4" s="1"/>
  <c r="T60" i="4" s="1"/>
  <c r="O60" i="4" s="1"/>
  <c r="AM150" i="4"/>
  <c r="AO150" i="4" s="1"/>
  <c r="AM199" i="4"/>
  <c r="AO199" i="4" s="1"/>
  <c r="AQ199" i="4" s="1"/>
  <c r="T199" i="4" s="1"/>
  <c r="O199" i="4" s="1"/>
  <c r="AM167" i="4"/>
  <c r="AO167" i="4" s="1"/>
  <c r="AP167" i="4" s="1"/>
  <c r="S167" i="4" s="1"/>
  <c r="N167" i="4" s="1"/>
  <c r="AM7" i="4"/>
  <c r="AO7" i="4" s="1"/>
  <c r="AQ7" i="4" s="1"/>
  <c r="T7" i="4" s="1"/>
  <c r="O7" i="4" s="1"/>
  <c r="AM29" i="4"/>
  <c r="AO29" i="4" s="1"/>
  <c r="AP29" i="4" s="1"/>
  <c r="S29" i="4" s="1"/>
  <c r="N29" i="4" s="1"/>
  <c r="AM120" i="4"/>
  <c r="AO120" i="4" s="1"/>
  <c r="AQ120" i="4" s="1"/>
  <c r="T120" i="4" s="1"/>
  <c r="O120" i="4" s="1"/>
  <c r="AM194" i="4"/>
  <c r="AO194" i="4" s="1"/>
  <c r="AP194" i="4" s="1"/>
  <c r="S194" i="4" s="1"/>
  <c r="N194" i="4" s="1"/>
  <c r="AM88" i="4"/>
  <c r="AO88" i="4" s="1"/>
  <c r="AM34" i="4"/>
  <c r="AO34" i="4" s="1"/>
  <c r="AM136" i="4"/>
  <c r="AO136" i="4" s="1"/>
  <c r="AM138" i="4"/>
  <c r="AO138" i="4" s="1"/>
  <c r="AQ138" i="4" s="1"/>
  <c r="T138" i="4" s="1"/>
  <c r="AM115" i="4"/>
  <c r="AO115" i="4" s="1"/>
  <c r="AM195" i="4"/>
  <c r="AO195" i="4" s="1"/>
  <c r="AP195" i="4" s="1"/>
  <c r="S195" i="4" s="1"/>
  <c r="N195" i="4" s="1"/>
  <c r="AM51" i="4"/>
  <c r="AO51" i="4" s="1"/>
  <c r="AQ51" i="4" s="1"/>
  <c r="T51" i="4" s="1"/>
  <c r="AM14" i="4"/>
  <c r="AO14" i="4" s="1"/>
  <c r="AM9" i="4"/>
  <c r="AO9" i="4" s="1"/>
  <c r="AM180" i="4"/>
  <c r="AO180" i="4" s="1"/>
  <c r="AQ180" i="4" s="1"/>
  <c r="T180" i="4" s="1"/>
  <c r="O180" i="4" s="1"/>
  <c r="AM149" i="4"/>
  <c r="AO149" i="4" s="1"/>
  <c r="AM63" i="4"/>
  <c r="AO63" i="4" s="1"/>
  <c r="AM208" i="4"/>
  <c r="AO208" i="4" s="1"/>
  <c r="AQ208" i="4" s="1"/>
  <c r="T208" i="4" s="1"/>
  <c r="O208" i="4" s="1"/>
  <c r="AM96" i="4"/>
  <c r="AO96" i="4" s="1"/>
  <c r="AQ96" i="4" s="1"/>
  <c r="T96" i="4" s="1"/>
  <c r="O96" i="4" s="1"/>
  <c r="AM16" i="4"/>
  <c r="AO16" i="4" s="1"/>
  <c r="AM75" i="4"/>
  <c r="AO75" i="4" s="1"/>
  <c r="AQ75" i="4" s="1"/>
  <c r="T75" i="4" s="1"/>
  <c r="O75" i="4" s="1"/>
  <c r="AM6" i="4"/>
  <c r="AO6" i="4" s="1"/>
  <c r="AM97" i="4"/>
  <c r="AO97" i="4" s="1"/>
  <c r="AP97" i="4" s="1"/>
  <c r="S97" i="4" s="1"/>
  <c r="N97" i="4" s="1"/>
  <c r="AM137" i="4"/>
  <c r="AO137" i="4" s="1"/>
  <c r="AP137" i="4" s="1"/>
  <c r="S137" i="4" s="1"/>
  <c r="N137" i="4" s="1"/>
  <c r="AM44" i="4"/>
  <c r="AO44" i="4" s="1"/>
  <c r="AQ44" i="4" s="1"/>
  <c r="T44" i="4" s="1"/>
  <c r="O44" i="4" s="1"/>
  <c r="AM39" i="4"/>
  <c r="AO39" i="4" s="1"/>
  <c r="AQ39" i="4" s="1"/>
  <c r="T39" i="4" s="1"/>
  <c r="O39" i="4" s="1"/>
  <c r="AM169" i="4"/>
  <c r="AO169" i="4" s="1"/>
  <c r="AP169" i="4" s="1"/>
  <c r="S169" i="4" s="1"/>
  <c r="N169" i="4" s="1"/>
  <c r="AM55" i="4"/>
  <c r="AO55" i="4" s="1"/>
  <c r="AQ55" i="4" s="1"/>
  <c r="T55" i="4" s="1"/>
  <c r="O55" i="4" s="1"/>
  <c r="AM212" i="4"/>
  <c r="AO212" i="4" s="1"/>
  <c r="AM56" i="4"/>
  <c r="AO56" i="4" s="1"/>
  <c r="AQ56" i="4" s="1"/>
  <c r="T56" i="4" s="1"/>
  <c r="AM99" i="4"/>
  <c r="AO99" i="4" s="1"/>
  <c r="AP99" i="4" s="1"/>
  <c r="S99" i="4" s="1"/>
  <c r="N99" i="4" s="1"/>
  <c r="AM178" i="4"/>
  <c r="AO178" i="4" s="1"/>
  <c r="AP178" i="4" s="1"/>
  <c r="S178" i="4" s="1"/>
  <c r="N178" i="4" s="1"/>
  <c r="AM57" i="4"/>
  <c r="AO57" i="4" s="1"/>
  <c r="AM201" i="4"/>
  <c r="AO201" i="4" s="1"/>
  <c r="AM189" i="4"/>
  <c r="AO189" i="4" s="1"/>
  <c r="AQ189" i="4" s="1"/>
  <c r="T189" i="4" s="1"/>
  <c r="O189" i="4" s="1"/>
  <c r="AM84" i="4"/>
  <c r="AO84" i="4" s="1"/>
  <c r="AM47" i="4"/>
  <c r="AO47" i="4" s="1"/>
  <c r="AM85" i="4"/>
  <c r="AO85" i="4" s="1"/>
  <c r="AP85" i="4" s="1"/>
  <c r="S85" i="4" s="1"/>
  <c r="N85" i="4" s="1"/>
  <c r="AM114" i="4"/>
  <c r="AO114" i="4" s="1"/>
  <c r="AM162" i="4"/>
  <c r="AO162" i="4" s="1"/>
  <c r="AM154" i="4"/>
  <c r="AO154" i="4" s="1"/>
  <c r="AP154" i="4" s="1"/>
  <c r="S154" i="4" s="1"/>
  <c r="N154" i="4" s="1"/>
  <c r="AM59" i="4"/>
  <c r="AO59" i="4" s="1"/>
  <c r="AQ59" i="4" s="1"/>
  <c r="T59" i="4" s="1"/>
  <c r="O59" i="4" s="1"/>
  <c r="AM65" i="4"/>
  <c r="AO65" i="4" s="1"/>
  <c r="AM76" i="4"/>
  <c r="AO76" i="4" s="1"/>
  <c r="AQ76" i="4" s="1"/>
  <c r="T76" i="4" s="1"/>
  <c r="O76" i="4" s="1"/>
  <c r="AM183" i="4"/>
  <c r="AO183" i="4" s="1"/>
  <c r="AP183" i="4" s="1"/>
  <c r="S183" i="4" s="1"/>
  <c r="N183" i="4" s="1"/>
  <c r="AM87" i="4"/>
  <c r="AO87" i="4" s="1"/>
  <c r="AP87" i="4" s="1"/>
  <c r="S87" i="4" s="1"/>
  <c r="N87" i="4" s="1"/>
  <c r="AM184" i="4"/>
  <c r="AO184" i="4" s="1"/>
  <c r="AP184" i="4" s="1"/>
  <c r="S184" i="4" s="1"/>
  <c r="N184" i="4" s="1"/>
  <c r="AM125" i="4"/>
  <c r="AO125" i="4" s="1"/>
  <c r="AP125" i="4" s="1"/>
  <c r="S125" i="4" s="1"/>
  <c r="N125" i="4" s="1"/>
  <c r="AM109" i="4"/>
  <c r="AO109" i="4" s="1"/>
  <c r="AM179" i="4"/>
  <c r="AO179" i="4" s="1"/>
  <c r="AP179" i="4" s="1"/>
  <c r="S179" i="4" s="1"/>
  <c r="N179" i="4" s="1"/>
  <c r="AM67" i="4"/>
  <c r="AO67" i="4" s="1"/>
  <c r="AP67" i="4" s="1"/>
  <c r="S67" i="4" s="1"/>
  <c r="N67" i="4" s="1"/>
  <c r="U119" i="4"/>
  <c r="V119" i="4" s="1"/>
  <c r="U136" i="4"/>
  <c r="V136" i="4" s="1"/>
  <c r="U131" i="4"/>
  <c r="V131" i="4" s="1"/>
  <c r="U46" i="4"/>
  <c r="W46" i="4" s="1"/>
  <c r="U112" i="4"/>
  <c r="V112" i="4" s="1"/>
  <c r="U8" i="4"/>
  <c r="V8" i="4" s="1"/>
  <c r="U114" i="4"/>
  <c r="V114" i="4" s="1"/>
  <c r="U27" i="4"/>
  <c r="W27" i="4" s="1"/>
  <c r="U116" i="4"/>
  <c r="W116" i="4" s="1"/>
  <c r="U13" i="4"/>
  <c r="V13" i="4" s="1"/>
  <c r="U67" i="4"/>
  <c r="V67" i="4" s="1"/>
  <c r="U113" i="4"/>
  <c r="W113" i="4" s="1"/>
  <c r="U10" i="4"/>
  <c r="W10" i="4" s="1"/>
  <c r="U107" i="4"/>
  <c r="W107" i="4" s="1"/>
  <c r="U161" i="4"/>
  <c r="W161" i="4" s="1"/>
  <c r="U85" i="4"/>
  <c r="W85" i="4" s="1"/>
  <c r="U173" i="4"/>
  <c r="V173" i="4" s="1"/>
  <c r="U87" i="4"/>
  <c r="W87" i="4" s="1"/>
  <c r="U48" i="4"/>
  <c r="V48" i="4" s="1"/>
  <c r="U89" i="4"/>
  <c r="V89" i="4" s="1"/>
  <c r="U69" i="4"/>
  <c r="V69" i="4" s="1"/>
  <c r="U186" i="4"/>
  <c r="V186" i="4" s="1"/>
  <c r="U153" i="4"/>
  <c r="V153" i="4" s="1"/>
  <c r="AM147" i="4"/>
  <c r="AO147" i="4" s="1"/>
  <c r="AQ147" i="4" s="1"/>
  <c r="T147" i="4" s="1"/>
  <c r="AM205" i="4"/>
  <c r="AO205" i="4" s="1"/>
  <c r="AM94" i="4"/>
  <c r="AO94" i="4" s="1"/>
  <c r="AM18" i="4"/>
  <c r="AO18" i="4" s="1"/>
  <c r="AP18" i="4" s="1"/>
  <c r="S18" i="4" s="1"/>
  <c r="N18" i="4" s="1"/>
  <c r="AM23" i="4"/>
  <c r="AO23" i="4" s="1"/>
  <c r="AP23" i="4" s="1"/>
  <c r="S23" i="4" s="1"/>
  <c r="N23" i="4" s="1"/>
  <c r="AM151" i="4"/>
  <c r="AO151" i="4" s="1"/>
  <c r="AP151" i="4" s="1"/>
  <c r="S151" i="4" s="1"/>
  <c r="N151" i="4" s="1"/>
  <c r="AM28" i="4"/>
  <c r="AO28" i="4" s="1"/>
  <c r="AQ28" i="4" s="1"/>
  <c r="T28" i="4" s="1"/>
  <c r="O28" i="4" s="1"/>
  <c r="AM156" i="4"/>
  <c r="AO156" i="4" s="1"/>
  <c r="AP156" i="4" s="1"/>
  <c r="S156" i="4" s="1"/>
  <c r="N156" i="4" s="1"/>
  <c r="AM33" i="4"/>
  <c r="AO33" i="4" s="1"/>
  <c r="AP33" i="4" s="1"/>
  <c r="S33" i="4" s="1"/>
  <c r="N33" i="4" s="1"/>
  <c r="AM70" i="4"/>
  <c r="AO70" i="4" s="1"/>
  <c r="AQ70" i="4" s="1"/>
  <c r="T70" i="4" s="1"/>
  <c r="O70" i="4" s="1"/>
  <c r="AM155" i="4"/>
  <c r="AO155" i="4" s="1"/>
  <c r="AP155" i="4" s="1"/>
  <c r="S155" i="4" s="1"/>
  <c r="N155" i="4" s="1"/>
  <c r="AM176" i="4"/>
  <c r="AO176" i="4" s="1"/>
  <c r="U75" i="4"/>
  <c r="V75" i="4" s="1"/>
  <c r="U29" i="4"/>
  <c r="W29" i="4" s="1"/>
  <c r="U109" i="4"/>
  <c r="V109" i="4" s="1"/>
  <c r="AM19" i="4"/>
  <c r="AO19" i="4" s="1"/>
  <c r="AP19" i="4" s="1"/>
  <c r="S19" i="4" s="1"/>
  <c r="N19" i="4" s="1"/>
  <c r="AM163" i="4"/>
  <c r="AO163" i="4" s="1"/>
  <c r="AQ163" i="4" s="1"/>
  <c r="T163" i="4" s="1"/>
  <c r="AM200" i="4"/>
  <c r="AO200" i="4" s="1"/>
  <c r="AM152" i="4"/>
  <c r="AO152" i="4" s="1"/>
  <c r="AP152" i="4" s="1"/>
  <c r="S152" i="4" s="1"/>
  <c r="N152" i="4" s="1"/>
  <c r="AM13" i="4"/>
  <c r="AO13" i="4" s="1"/>
  <c r="AQ13" i="4" s="1"/>
  <c r="T13" i="4" s="1"/>
  <c r="O13" i="4" s="1"/>
  <c r="AM103" i="4"/>
  <c r="AO103" i="4" s="1"/>
  <c r="AQ103" i="4" s="1"/>
  <c r="T103" i="4" s="1"/>
  <c r="O103" i="4" s="1"/>
  <c r="AM173" i="4"/>
  <c r="AO173" i="4" s="1"/>
  <c r="AQ173" i="4" s="1"/>
  <c r="T173" i="4" s="1"/>
  <c r="O173" i="4" s="1"/>
  <c r="AM12" i="4"/>
  <c r="AO12" i="4" s="1"/>
  <c r="AQ12" i="4" s="1"/>
  <c r="T12" i="4" s="1"/>
  <c r="O12" i="4" s="1"/>
  <c r="AM49" i="4"/>
  <c r="AO49" i="4" s="1"/>
  <c r="AQ49" i="4" s="1"/>
  <c r="T49" i="4" s="1"/>
  <c r="O49" i="4" s="1"/>
  <c r="AM54" i="4"/>
  <c r="AO54" i="4" s="1"/>
  <c r="AM38" i="4"/>
  <c r="AO38" i="4" s="1"/>
  <c r="AQ38" i="4" s="1"/>
  <c r="T38" i="4" s="1"/>
  <c r="O38" i="4" s="1"/>
  <c r="AM64" i="4"/>
  <c r="AO64" i="4" s="1"/>
  <c r="AM128" i="4"/>
  <c r="AO128" i="4" s="1"/>
  <c r="AP128" i="4" s="1"/>
  <c r="S128" i="4" s="1"/>
  <c r="N128" i="4" s="1"/>
  <c r="AM37" i="4"/>
  <c r="AO37" i="4" s="1"/>
  <c r="AM74" i="4"/>
  <c r="AO74" i="4" s="1"/>
  <c r="AQ74" i="4" s="1"/>
  <c r="T74" i="4" s="1"/>
  <c r="O74" i="4" s="1"/>
  <c r="AM82" i="4"/>
  <c r="AO82" i="4" s="1"/>
  <c r="AM175" i="4"/>
  <c r="AO175" i="4" s="1"/>
  <c r="AM164" i="4"/>
  <c r="AO164" i="4" s="1"/>
  <c r="AP164" i="4" s="1"/>
  <c r="S164" i="4" s="1"/>
  <c r="N164" i="4" s="1"/>
  <c r="AM89" i="4"/>
  <c r="AO89" i="4" s="1"/>
  <c r="AM41" i="4"/>
  <c r="AO41" i="4" s="1"/>
  <c r="AQ41" i="4" s="1"/>
  <c r="T41" i="4" s="1"/>
  <c r="O41" i="4" s="1"/>
  <c r="AP110" i="4"/>
  <c r="S110" i="4" s="1"/>
  <c r="N110" i="4" s="1"/>
  <c r="AM58" i="4"/>
  <c r="AO58" i="4" s="1"/>
  <c r="AM166" i="4"/>
  <c r="AO166" i="4" s="1"/>
  <c r="AM26" i="4"/>
  <c r="AO26" i="4" s="1"/>
  <c r="AQ26" i="4" s="1"/>
  <c r="T26" i="4" s="1"/>
  <c r="O26" i="4" s="1"/>
  <c r="AM116" i="4"/>
  <c r="AO116" i="4" s="1"/>
  <c r="AM105" i="4"/>
  <c r="AO105" i="4" s="1"/>
  <c r="AM86" i="4"/>
  <c r="AO86" i="4" s="1"/>
  <c r="AQ86" i="4" s="1"/>
  <c r="T86" i="4" s="1"/>
  <c r="O86" i="4" s="1"/>
  <c r="U198" i="4"/>
  <c r="V198" i="4" s="1"/>
  <c r="U14" i="4"/>
  <c r="W14" i="4" s="1"/>
  <c r="U23" i="4"/>
  <c r="V23" i="4" s="1"/>
  <c r="U130" i="4"/>
  <c r="V130" i="4" s="1"/>
  <c r="U190" i="4"/>
  <c r="V190" i="4" s="1"/>
  <c r="U148" i="4"/>
  <c r="W148" i="4" s="1"/>
  <c r="U21" i="4"/>
  <c r="W21" i="4" s="1"/>
  <c r="U157" i="4"/>
  <c r="W157" i="4" s="1"/>
  <c r="U197" i="4"/>
  <c r="V197" i="4" s="1"/>
  <c r="U209" i="4"/>
  <c r="V209" i="4" s="1"/>
  <c r="U92" i="4"/>
  <c r="V92" i="4" s="1"/>
  <c r="U146" i="4"/>
  <c r="W146" i="4" s="1"/>
  <c r="U169" i="4"/>
  <c r="W169" i="4" s="1"/>
  <c r="U2" i="4"/>
  <c r="W2" i="4" s="1"/>
  <c r="AM35" i="4"/>
  <c r="AO35" i="4" s="1"/>
  <c r="AM24" i="4"/>
  <c r="AO24" i="4" s="1"/>
  <c r="AQ24" i="4" s="1"/>
  <c r="T24" i="4" s="1"/>
  <c r="O24" i="4" s="1"/>
  <c r="AM146" i="4"/>
  <c r="AO146" i="4" s="1"/>
  <c r="AM104" i="4"/>
  <c r="AO104" i="4" s="1"/>
  <c r="AQ104" i="4" s="1"/>
  <c r="T104" i="4" s="1"/>
  <c r="O104" i="4" s="1"/>
  <c r="AM50" i="4"/>
  <c r="AO50" i="4" s="1"/>
  <c r="AP50" i="4" s="1"/>
  <c r="S50" i="4" s="1"/>
  <c r="N50" i="4" s="1"/>
  <c r="AM61" i="4"/>
  <c r="AO61" i="4" s="1"/>
  <c r="AP61" i="4" s="1"/>
  <c r="S61" i="4" s="1"/>
  <c r="N61" i="4" s="1"/>
  <c r="AM198" i="4"/>
  <c r="AO198" i="4" s="1"/>
  <c r="AP198" i="4" s="1"/>
  <c r="S198" i="4" s="1"/>
  <c r="N198" i="4" s="1"/>
  <c r="AM188" i="4"/>
  <c r="AO188" i="4" s="1"/>
  <c r="AM172" i="4"/>
  <c r="AO172" i="4" s="1"/>
  <c r="AQ172" i="4" s="1"/>
  <c r="T172" i="4" s="1"/>
  <c r="O172" i="4" s="1"/>
  <c r="AM202" i="4"/>
  <c r="AO202" i="4" s="1"/>
  <c r="AP202" i="4" s="1"/>
  <c r="S202" i="4" s="1"/>
  <c r="N202" i="4" s="1"/>
  <c r="AM91" i="4"/>
  <c r="AO91" i="4" s="1"/>
  <c r="AM43" i="4"/>
  <c r="AO43" i="4" s="1"/>
  <c r="AQ43" i="4" s="1"/>
  <c r="T43" i="4" s="1"/>
  <c r="O43" i="4" s="1"/>
  <c r="AM192" i="4"/>
  <c r="AO192" i="4" s="1"/>
  <c r="AP192" i="4" s="1"/>
  <c r="S192" i="4" s="1"/>
  <c r="N192" i="4" s="1"/>
  <c r="AM5" i="4"/>
  <c r="AO5" i="4" s="1"/>
  <c r="AM117" i="4"/>
  <c r="AO117" i="4" s="1"/>
  <c r="AM20" i="4"/>
  <c r="AO20" i="4" s="1"/>
  <c r="AP20" i="4" s="1"/>
  <c r="S20" i="4" s="1"/>
  <c r="N20" i="4" s="1"/>
  <c r="AM15" i="4"/>
  <c r="AO15" i="4" s="1"/>
  <c r="AM207" i="4"/>
  <c r="AO207" i="4" s="1"/>
  <c r="AM148" i="4"/>
  <c r="AO148" i="4" s="1"/>
  <c r="AQ148" i="4" s="1"/>
  <c r="T148" i="4" s="1"/>
  <c r="O148" i="4" s="1"/>
  <c r="AM73" i="4"/>
  <c r="AO73" i="4" s="1"/>
  <c r="AU103" i="4"/>
  <c r="AV103" i="4"/>
  <c r="AU66" i="4"/>
  <c r="AV66" i="4"/>
  <c r="AU180" i="4"/>
  <c r="AV180" i="4"/>
  <c r="AU30" i="4"/>
  <c r="AV30" i="4"/>
  <c r="AU128" i="4"/>
  <c r="AV128" i="4"/>
  <c r="AU79" i="4"/>
  <c r="AV79" i="4"/>
  <c r="AU42" i="4"/>
  <c r="AV42" i="4"/>
  <c r="AU105" i="4"/>
  <c r="AV105" i="4"/>
  <c r="AU60" i="4"/>
  <c r="AV60" i="4"/>
  <c r="AU11" i="4"/>
  <c r="AV11" i="4"/>
  <c r="AU133" i="4"/>
  <c r="AV133" i="4"/>
  <c r="AU23" i="4"/>
  <c r="AV23" i="4"/>
  <c r="AU85" i="4"/>
  <c r="AV85" i="4"/>
  <c r="AU164" i="4"/>
  <c r="AV164" i="4"/>
  <c r="AU78" i="4"/>
  <c r="AV78" i="4"/>
  <c r="AU93" i="4"/>
  <c r="AV93" i="4"/>
  <c r="AU48" i="4"/>
  <c r="AV48" i="4"/>
  <c r="AU154" i="4"/>
  <c r="AV154" i="4"/>
  <c r="AU141" i="4"/>
  <c r="AV141" i="4"/>
  <c r="AU172" i="4"/>
  <c r="AV172" i="4"/>
  <c r="AU123" i="4"/>
  <c r="AV123" i="4"/>
  <c r="AU22" i="4"/>
  <c r="AV22" i="4"/>
  <c r="AU7" i="4"/>
  <c r="AV7" i="4"/>
  <c r="AU209" i="4"/>
  <c r="AV209" i="4"/>
  <c r="AU84" i="4"/>
  <c r="AV84" i="4"/>
  <c r="AU62" i="4"/>
  <c r="AV62" i="4"/>
  <c r="AU77" i="4"/>
  <c r="AV77" i="4"/>
  <c r="AU32" i="4"/>
  <c r="AV32" i="4"/>
  <c r="AU202" i="4"/>
  <c r="AV202" i="4"/>
  <c r="AU201" i="4"/>
  <c r="AV201" i="4"/>
  <c r="AU156" i="4"/>
  <c r="AV156" i="4"/>
  <c r="AU107" i="4"/>
  <c r="AV107" i="4"/>
  <c r="AU70" i="4"/>
  <c r="AV70" i="4"/>
  <c r="AU119" i="4"/>
  <c r="AV119" i="4"/>
  <c r="AU18" i="4"/>
  <c r="AV18" i="4"/>
  <c r="AU196" i="4"/>
  <c r="AV196" i="4"/>
  <c r="AU174" i="4"/>
  <c r="AV174" i="4"/>
  <c r="AU125" i="4"/>
  <c r="AV125" i="4"/>
  <c r="AU80" i="4"/>
  <c r="AV80" i="4"/>
  <c r="AU31" i="4"/>
  <c r="AV31" i="4"/>
  <c r="AU165" i="4"/>
  <c r="AV165" i="4"/>
  <c r="AU204" i="4"/>
  <c r="AV204" i="4"/>
  <c r="AU155" i="4"/>
  <c r="AV155" i="4"/>
  <c r="AU118" i="4"/>
  <c r="AV118" i="4"/>
  <c r="AU197" i="4"/>
  <c r="AV197" i="4"/>
  <c r="AU39" i="4"/>
  <c r="AV39" i="4"/>
  <c r="AU149" i="4"/>
  <c r="AV149" i="4"/>
  <c r="AU116" i="4"/>
  <c r="AV116" i="4"/>
  <c r="AU37" i="4"/>
  <c r="AV37" i="4"/>
  <c r="AU64" i="4"/>
  <c r="AV64" i="4"/>
  <c r="AU15" i="4"/>
  <c r="AV15" i="4"/>
  <c r="AU117" i="4"/>
  <c r="AV117" i="4"/>
  <c r="AU41" i="4"/>
  <c r="AV41" i="4"/>
  <c r="AU203" i="4"/>
  <c r="AV203" i="4"/>
  <c r="AU166" i="4"/>
  <c r="AV166" i="4"/>
  <c r="AU104" i="4"/>
  <c r="AV104" i="4"/>
  <c r="AU178" i="4"/>
  <c r="AV178" i="4"/>
  <c r="AU145" i="4"/>
  <c r="AV145" i="4"/>
  <c r="AU100" i="4"/>
  <c r="AV100" i="4"/>
  <c r="AU14" i="4"/>
  <c r="AV14" i="4"/>
  <c r="AU29" i="4"/>
  <c r="AV29" i="4"/>
  <c r="AU191" i="4"/>
  <c r="AV191" i="4"/>
  <c r="AU26" i="4"/>
  <c r="AV26" i="4"/>
  <c r="AU153" i="4"/>
  <c r="AV153" i="4"/>
  <c r="AU108" i="4"/>
  <c r="AV108" i="4"/>
  <c r="AU59" i="4"/>
  <c r="AV59" i="4"/>
  <c r="AU69" i="4"/>
  <c r="AV69" i="4"/>
  <c r="AU162" i="4"/>
  <c r="AV162" i="4"/>
  <c r="AU129" i="4"/>
  <c r="AV129" i="4"/>
  <c r="AU20" i="4"/>
  <c r="AV20" i="4"/>
  <c r="AU181" i="4"/>
  <c r="AV181" i="4"/>
  <c r="AU13" i="4"/>
  <c r="AV13" i="4"/>
  <c r="AU175" i="4"/>
  <c r="AV175" i="4"/>
  <c r="AU74" i="4"/>
  <c r="AV74" i="4"/>
  <c r="AU137" i="4"/>
  <c r="AV137" i="4"/>
  <c r="AU92" i="4"/>
  <c r="AV92" i="4"/>
  <c r="AU43" i="4"/>
  <c r="AV43" i="4"/>
  <c r="AU6" i="4"/>
  <c r="AV6" i="4"/>
  <c r="AU55" i="4"/>
  <c r="AV55" i="4"/>
  <c r="AU177" i="4"/>
  <c r="AV177" i="4"/>
  <c r="AU132" i="4"/>
  <c r="AV132" i="4"/>
  <c r="AU110" i="4"/>
  <c r="AV110" i="4"/>
  <c r="AU61" i="4"/>
  <c r="AV61" i="4"/>
  <c r="AU16" i="4"/>
  <c r="AV16" i="4"/>
  <c r="AU186" i="4"/>
  <c r="AV186" i="4"/>
  <c r="AU185" i="4"/>
  <c r="AV185" i="4"/>
  <c r="AU140" i="4"/>
  <c r="AV140" i="4"/>
  <c r="AU91" i="4"/>
  <c r="AV91" i="4"/>
  <c r="AU54" i="4"/>
  <c r="AV54" i="4"/>
  <c r="AU152" i="4"/>
  <c r="AV152" i="4"/>
  <c r="AU194" i="4"/>
  <c r="AV194" i="4"/>
  <c r="AU97" i="4"/>
  <c r="AV97" i="4"/>
  <c r="AU52" i="4"/>
  <c r="AV52" i="4"/>
  <c r="AU199" i="4"/>
  <c r="AV199" i="4"/>
  <c r="AU207" i="4"/>
  <c r="AV207" i="4"/>
  <c r="AU170" i="4"/>
  <c r="AV170" i="4"/>
  <c r="AU173" i="4"/>
  <c r="AV173" i="4"/>
  <c r="AU188" i="4"/>
  <c r="AV188" i="4"/>
  <c r="AU139" i="4"/>
  <c r="AV139" i="4"/>
  <c r="AU102" i="4"/>
  <c r="AV102" i="4"/>
  <c r="AU151" i="4"/>
  <c r="AV151" i="4"/>
  <c r="AU114" i="4"/>
  <c r="AV114" i="4"/>
  <c r="AU81" i="4"/>
  <c r="AV81" i="4"/>
  <c r="AU36" i="4"/>
  <c r="AV36" i="4"/>
  <c r="AU184" i="4"/>
  <c r="AV184" i="4"/>
  <c r="AU176" i="4"/>
  <c r="AV176" i="4"/>
  <c r="AU127" i="4"/>
  <c r="AV127" i="4"/>
  <c r="AU53" i="4"/>
  <c r="AV53" i="4"/>
  <c r="AU89" i="4"/>
  <c r="AV89" i="4"/>
  <c r="AU44" i="4"/>
  <c r="AV44" i="4"/>
  <c r="AU150" i="4"/>
  <c r="AV150" i="4"/>
  <c r="AU135" i="4"/>
  <c r="AV135" i="4"/>
  <c r="AU98" i="4"/>
  <c r="AV98" i="4"/>
  <c r="AU65" i="4"/>
  <c r="AV65" i="4"/>
  <c r="AU190" i="4"/>
  <c r="AV190" i="4"/>
  <c r="AU120" i="4"/>
  <c r="AV120" i="4"/>
  <c r="AU160" i="4"/>
  <c r="AV160" i="4"/>
  <c r="AU111" i="4"/>
  <c r="AV111" i="4"/>
  <c r="AU10" i="4"/>
  <c r="AV10" i="4"/>
  <c r="AU73" i="4"/>
  <c r="AV73" i="4"/>
  <c r="AU28" i="4"/>
  <c r="AV28" i="4"/>
  <c r="AU198" i="4"/>
  <c r="AV198" i="4"/>
  <c r="AU5" i="4"/>
  <c r="AV5" i="4"/>
  <c r="AU210" i="4"/>
  <c r="AV210" i="4"/>
  <c r="AU113" i="4"/>
  <c r="AV113" i="4"/>
  <c r="AU68" i="4"/>
  <c r="AV68" i="4"/>
  <c r="AU46" i="4"/>
  <c r="AV46" i="4"/>
  <c r="AU208" i="4"/>
  <c r="AV208" i="4"/>
  <c r="AU159" i="4"/>
  <c r="AV159" i="4"/>
  <c r="AU122" i="4"/>
  <c r="AV122" i="4"/>
  <c r="AU121" i="4"/>
  <c r="AV121" i="4"/>
  <c r="AU76" i="4"/>
  <c r="AV76" i="4"/>
  <c r="AU27" i="4"/>
  <c r="AV27" i="4"/>
  <c r="AU167" i="4"/>
  <c r="AV167" i="4"/>
  <c r="AU130" i="4"/>
  <c r="AV130" i="4"/>
  <c r="AU33" i="4"/>
  <c r="AV33" i="4"/>
  <c r="AU158" i="4"/>
  <c r="AV158" i="4"/>
  <c r="AU192" i="4"/>
  <c r="AV192" i="4"/>
  <c r="AU143" i="4"/>
  <c r="AV143" i="4"/>
  <c r="AU106" i="4"/>
  <c r="AV106" i="4"/>
  <c r="AU169" i="4"/>
  <c r="AV169" i="4"/>
  <c r="AU124" i="4"/>
  <c r="AV124" i="4"/>
  <c r="AU75" i="4"/>
  <c r="AV75" i="4"/>
  <c r="AU38" i="4"/>
  <c r="AV38" i="4"/>
  <c r="AU87" i="4"/>
  <c r="AV87" i="4"/>
  <c r="AU50" i="4"/>
  <c r="AV50" i="4"/>
  <c r="AU17" i="4"/>
  <c r="AV17" i="4"/>
  <c r="AU206" i="4"/>
  <c r="AV206" i="4"/>
  <c r="AU189" i="4"/>
  <c r="AV189" i="4"/>
  <c r="AU112" i="4"/>
  <c r="AV112" i="4"/>
  <c r="AU63" i="4"/>
  <c r="AV63" i="4"/>
  <c r="AU8" i="4"/>
  <c r="AV8" i="4"/>
  <c r="AU25" i="4"/>
  <c r="AV25" i="4"/>
  <c r="AU187" i="4"/>
  <c r="AV187" i="4"/>
  <c r="AU86" i="4"/>
  <c r="AV86" i="4"/>
  <c r="AU71" i="4"/>
  <c r="AV71" i="4"/>
  <c r="AU21" i="4"/>
  <c r="AV21" i="4"/>
  <c r="AU148" i="4"/>
  <c r="AV148" i="4"/>
  <c r="AU126" i="4"/>
  <c r="AV126" i="4"/>
  <c r="AU157" i="4"/>
  <c r="AV157" i="4"/>
  <c r="AU96" i="4"/>
  <c r="AV96" i="4"/>
  <c r="AU47" i="4"/>
  <c r="AV47" i="4"/>
  <c r="AU193" i="4"/>
  <c r="AV193" i="4"/>
  <c r="AU9" i="4"/>
  <c r="AV9" i="4"/>
  <c r="AU171" i="4"/>
  <c r="AV171" i="4"/>
  <c r="AU134" i="4"/>
  <c r="AV134" i="4"/>
  <c r="AU183" i="4"/>
  <c r="AV183" i="4"/>
  <c r="AU82" i="4"/>
  <c r="AV82" i="4"/>
  <c r="AU49" i="4"/>
  <c r="AV49" i="4"/>
  <c r="AU4" i="4"/>
  <c r="AV4" i="4"/>
  <c r="AU101" i="4"/>
  <c r="AV101" i="4"/>
  <c r="AU144" i="4"/>
  <c r="AV144" i="4"/>
  <c r="AU95" i="4"/>
  <c r="AV95" i="4"/>
  <c r="AU58" i="4"/>
  <c r="AV58" i="4"/>
  <c r="AU57" i="4"/>
  <c r="AV57" i="4"/>
  <c r="AU12" i="4"/>
  <c r="AV12" i="4"/>
  <c r="AU182" i="4"/>
  <c r="AV182" i="4"/>
  <c r="AO142" i="4"/>
  <c r="AQ142" i="4" s="1"/>
  <c r="T142" i="4" s="1"/>
  <c r="AO40" i="4"/>
  <c r="AP40" i="4" s="1"/>
  <c r="S40" i="4" s="1"/>
  <c r="N40" i="4" s="1"/>
  <c r="O98" i="4"/>
  <c r="O21" i="4"/>
  <c r="AQ4" i="4"/>
  <c r="T4" i="4" s="1"/>
  <c r="AP132" i="4"/>
  <c r="S132" i="4" s="1"/>
  <c r="N132" i="4" s="1"/>
  <c r="AP92" i="4"/>
  <c r="S92" i="4" s="1"/>
  <c r="N92" i="4" s="1"/>
  <c r="AQ196" i="4"/>
  <c r="T196" i="4" s="1"/>
  <c r="O132" i="4"/>
  <c r="U121" i="4" l="1"/>
  <c r="W121" i="4" s="1"/>
  <c r="U158" i="4"/>
  <c r="W158" i="4" s="1"/>
  <c r="U203" i="4"/>
  <c r="U55" i="4"/>
  <c r="W55" i="4" s="1"/>
  <c r="U134" i="4"/>
  <c r="V134" i="4" s="1"/>
  <c r="U150" i="4"/>
  <c r="V150" i="4" s="1"/>
  <c r="U24" i="4"/>
  <c r="V24" i="4" s="1"/>
  <c r="U196" i="4"/>
  <c r="V196" i="4" s="1"/>
  <c r="U195" i="4"/>
  <c r="V195" i="4" s="1"/>
  <c r="U78" i="4"/>
  <c r="V78" i="4" s="1"/>
  <c r="U111" i="4"/>
  <c r="W111" i="4" s="1"/>
  <c r="U122" i="4"/>
  <c r="W122" i="4" s="1"/>
  <c r="U22" i="4"/>
  <c r="V22" i="4" s="1"/>
  <c r="U104" i="4"/>
  <c r="V104" i="4" s="1"/>
  <c r="U139" i="4"/>
  <c r="V139" i="4" s="1"/>
  <c r="U181" i="4"/>
  <c r="V181" i="4" s="1"/>
  <c r="U97" i="4"/>
  <c r="W97" i="4" s="1"/>
  <c r="U100" i="4"/>
  <c r="W100" i="4" s="1"/>
  <c r="U96" i="4"/>
  <c r="V96" i="4" s="1"/>
  <c r="U143" i="4"/>
  <c r="V143" i="4" s="1"/>
  <c r="U39" i="4"/>
  <c r="V39" i="4" s="1"/>
  <c r="U49" i="4"/>
  <c r="W49" i="4" s="1"/>
  <c r="U163" i="4"/>
  <c r="V163" i="4" s="1"/>
  <c r="U208" i="4"/>
  <c r="U68" i="4"/>
  <c r="W68" i="4" s="1"/>
  <c r="U60" i="4"/>
  <c r="V60" i="4" s="1"/>
  <c r="U32" i="4"/>
  <c r="V32" i="4" s="1"/>
  <c r="U54" i="4"/>
  <c r="W54" i="4" s="1"/>
  <c r="U168" i="4"/>
  <c r="V168" i="4" s="1"/>
  <c r="U72" i="4"/>
  <c r="W72" i="4" s="1"/>
  <c r="U99" i="4"/>
  <c r="V99" i="4" s="1"/>
  <c r="U137" i="4"/>
  <c r="W137" i="4" s="1"/>
  <c r="U26" i="4"/>
  <c r="V26" i="4" s="1"/>
  <c r="U20" i="4"/>
  <c r="W20" i="4" s="1"/>
  <c r="U141" i="4"/>
  <c r="W141" i="4" s="1"/>
  <c r="U12" i="4"/>
  <c r="W12" i="4" s="1"/>
  <c r="U164" i="4"/>
  <c r="V164" i="4" s="1"/>
  <c r="U193" i="4"/>
  <c r="V193" i="4" s="1"/>
  <c r="U117" i="4"/>
  <c r="V117" i="4" s="1"/>
  <c r="U128" i="4"/>
  <c r="W128" i="4" s="1"/>
  <c r="U91" i="4"/>
  <c r="W91" i="4" s="1"/>
  <c r="U106" i="4"/>
  <c r="W106" i="4" s="1"/>
  <c r="U126" i="4"/>
  <c r="W126" i="4" s="1"/>
  <c r="U83" i="4"/>
  <c r="W83" i="4" s="1"/>
  <c r="U4" i="4"/>
  <c r="V4" i="4" s="1"/>
  <c r="U18" i="4"/>
  <c r="W18" i="4" s="1"/>
  <c r="U191" i="4"/>
  <c r="W191" i="4" s="1"/>
  <c r="U17" i="4"/>
  <c r="U77" i="4"/>
  <c r="V77" i="4" s="1"/>
  <c r="U70" i="4"/>
  <c r="V70" i="4" s="1"/>
  <c r="U211" i="4"/>
  <c r="W211" i="4" s="1"/>
  <c r="U172" i="4"/>
  <c r="W172" i="4" s="1"/>
  <c r="AQ157" i="4"/>
  <c r="T157" i="4" s="1"/>
  <c r="O157" i="4" s="1"/>
  <c r="U167" i="4"/>
  <c r="W167" i="4" s="1"/>
  <c r="U28" i="4"/>
  <c r="V28" i="4" s="1"/>
  <c r="U76" i="4"/>
  <c r="W76" i="4" s="1"/>
  <c r="U3" i="4"/>
  <c r="W3" i="4" s="1"/>
  <c r="U142" i="4"/>
  <c r="V142" i="4" s="1"/>
  <c r="U201" i="4"/>
  <c r="W201" i="4" s="1"/>
  <c r="U43" i="4"/>
  <c r="V43" i="4" s="1"/>
  <c r="U212" i="4"/>
  <c r="W212" i="4" s="1"/>
  <c r="U133" i="4"/>
  <c r="V133" i="4" s="1"/>
  <c r="U81" i="4"/>
  <c r="V81" i="4" s="1"/>
  <c r="U185" i="4"/>
  <c r="W185" i="4" s="1"/>
  <c r="U36" i="4"/>
  <c r="W36" i="4" s="1"/>
  <c r="U30" i="4"/>
  <c r="V30" i="4" s="1"/>
  <c r="U88" i="4"/>
  <c r="W88" i="4" s="1"/>
  <c r="U132" i="4"/>
  <c r="V132" i="4" s="1"/>
  <c r="U47" i="4"/>
  <c r="W47" i="4" s="1"/>
  <c r="U166" i="4"/>
  <c r="V166" i="4" s="1"/>
  <c r="U31" i="4"/>
  <c r="V31" i="4" s="1"/>
  <c r="U40" i="4"/>
  <c r="W40" i="4" s="1"/>
  <c r="U63" i="4"/>
  <c r="V63" i="4" s="1"/>
  <c r="U59" i="4"/>
  <c r="V59" i="4" s="1"/>
  <c r="U151" i="4"/>
  <c r="W151" i="4" s="1"/>
  <c r="U42" i="4"/>
  <c r="W42" i="4" s="1"/>
  <c r="U41" i="4"/>
  <c r="W41" i="4" s="1"/>
  <c r="U7" i="4"/>
  <c r="W7" i="4" s="1"/>
  <c r="U9" i="4"/>
  <c r="V9" i="4" s="1"/>
  <c r="U165" i="4"/>
  <c r="V165" i="4" s="1"/>
  <c r="U110" i="4"/>
  <c r="V110" i="4" s="1"/>
  <c r="U102" i="4"/>
  <c r="V102" i="4" s="1"/>
  <c r="U33" i="4"/>
  <c r="W33" i="4" s="1"/>
  <c r="U44" i="4"/>
  <c r="W44" i="4" s="1"/>
  <c r="U127" i="4"/>
  <c r="V127" i="4" s="1"/>
  <c r="U183" i="4"/>
  <c r="W183" i="4" s="1"/>
  <c r="U65" i="4"/>
  <c r="W65" i="4" s="1"/>
  <c r="U95" i="4"/>
  <c r="V95" i="4" s="1"/>
  <c r="U82" i="4"/>
  <c r="W82" i="4" s="1"/>
  <c r="U45" i="4"/>
  <c r="W45" i="4" s="1"/>
  <c r="U200" i="4"/>
  <c r="U155" i="4"/>
  <c r="V155" i="4" s="1"/>
  <c r="U149" i="4"/>
  <c r="W149" i="4" s="1"/>
  <c r="U174" i="4"/>
  <c r="U94" i="4"/>
  <c r="V94" i="4" s="1"/>
  <c r="U74" i="4"/>
  <c r="U138" i="4"/>
  <c r="U71" i="4"/>
  <c r="U210" i="4"/>
  <c r="V210" i="4" s="1"/>
  <c r="U115" i="4"/>
  <c r="U170" i="4"/>
  <c r="U50" i="4"/>
  <c r="U19" i="4"/>
  <c r="U135" i="4"/>
  <c r="W135" i="4" s="1"/>
  <c r="U120" i="4"/>
  <c r="W120" i="4" s="1"/>
  <c r="U182" i="4"/>
  <c r="V182" i="4" s="1"/>
  <c r="U202" i="4"/>
  <c r="W202" i="4" s="1"/>
  <c r="V121" i="4"/>
  <c r="V172" i="4"/>
  <c r="AQ100" i="4"/>
  <c r="T100" i="4" s="1"/>
  <c r="O100" i="4" s="1"/>
  <c r="AP204" i="4"/>
  <c r="S204" i="4" s="1"/>
  <c r="N204" i="4" s="1"/>
  <c r="AP78" i="4"/>
  <c r="S78" i="4" s="1"/>
  <c r="N78" i="4" s="1"/>
  <c r="U93" i="4"/>
  <c r="V93" i="4" s="1"/>
  <c r="U11" i="4"/>
  <c r="V11" i="4" s="1"/>
  <c r="U204" i="4"/>
  <c r="V204" i="4" s="1"/>
  <c r="U61" i="4"/>
  <c r="V61" i="4" s="1"/>
  <c r="U73" i="4"/>
  <c r="V73" i="4" s="1"/>
  <c r="U156" i="4"/>
  <c r="W156" i="4" s="1"/>
  <c r="U207" i="4"/>
  <c r="W207" i="4" s="1"/>
  <c r="U205" i="4"/>
  <c r="V205" i="4" s="1"/>
  <c r="U125" i="4"/>
  <c r="V125" i="4" s="1"/>
  <c r="U192" i="4"/>
  <c r="W192" i="4" s="1"/>
  <c r="U56" i="4"/>
  <c r="V56" i="4" s="1"/>
  <c r="U15" i="4"/>
  <c r="V15" i="4" s="1"/>
  <c r="U176" i="4"/>
  <c r="V176" i="4" s="1"/>
  <c r="U101" i="4"/>
  <c r="V101" i="4" s="1"/>
  <c r="U152" i="4"/>
  <c r="V152" i="4" s="1"/>
  <c r="U66" i="4"/>
  <c r="W66" i="4" s="1"/>
  <c r="U90" i="4"/>
  <c r="W90" i="4" s="1"/>
  <c r="U188" i="4"/>
  <c r="W188" i="4" s="1"/>
  <c r="U58" i="4"/>
  <c r="V58" i="4" s="1"/>
  <c r="U187" i="4"/>
  <c r="W187" i="4" s="1"/>
  <c r="U38" i="4"/>
  <c r="V38" i="4" s="1"/>
  <c r="U79" i="4"/>
  <c r="W79" i="4" s="1"/>
  <c r="U124" i="4"/>
  <c r="V124" i="4" s="1"/>
  <c r="U144" i="4"/>
  <c r="V144" i="4" s="1"/>
  <c r="U57" i="4"/>
  <c r="W57" i="4" s="1"/>
  <c r="U171" i="4"/>
  <c r="V171" i="4" s="1"/>
  <c r="U175" i="4"/>
  <c r="V175" i="4" s="1"/>
  <c r="U129" i="4"/>
  <c r="W129" i="4" s="1"/>
  <c r="U154" i="4"/>
  <c r="V154" i="4" s="1"/>
  <c r="U80" i="4"/>
  <c r="W80" i="4" s="1"/>
  <c r="U108" i="4"/>
  <c r="W108" i="4" s="1"/>
  <c r="U147" i="4"/>
  <c r="V147" i="4" s="1"/>
  <c r="U180" i="4"/>
  <c r="V180" i="4" s="1"/>
  <c r="U123" i="4"/>
  <c r="W123" i="4" s="1"/>
  <c r="U178" i="4"/>
  <c r="V178" i="4" s="1"/>
  <c r="U52" i="4"/>
  <c r="W52" i="4" s="1"/>
  <c r="U62" i="4"/>
  <c r="W62" i="4" s="1"/>
  <c r="U37" i="4"/>
  <c r="W37" i="4" s="1"/>
  <c r="U179" i="4"/>
  <c r="W179" i="4" s="1"/>
  <c r="U35" i="4"/>
  <c r="V35" i="4" s="1"/>
  <c r="U98" i="4"/>
  <c r="V98" i="4" s="1"/>
  <c r="U51" i="4"/>
  <c r="V51" i="4" s="1"/>
  <c r="U160" i="4"/>
  <c r="W160" i="4" s="1"/>
  <c r="U16" i="4"/>
  <c r="W16" i="4" s="1"/>
  <c r="U5" i="4"/>
  <c r="V5" i="4" s="1"/>
  <c r="U103" i="4"/>
  <c r="V103" i="4" s="1"/>
  <c r="U145" i="4"/>
  <c r="W145" i="4" s="1"/>
  <c r="U184" i="4"/>
  <c r="W184" i="4" s="1"/>
  <c r="U159" i="4"/>
  <c r="V159" i="4" s="1"/>
  <c r="U194" i="4"/>
  <c r="W194" i="4" s="1"/>
  <c r="U105" i="4"/>
  <c r="V105" i="4" s="1"/>
  <c r="U84" i="4"/>
  <c r="W84" i="4" s="1"/>
  <c r="U86" i="4"/>
  <c r="V86" i="4" s="1"/>
  <c r="U199" i="4"/>
  <c r="W199" i="4" s="1"/>
  <c r="U206" i="4"/>
  <c r="V206" i="4" s="1"/>
  <c r="U162" i="4"/>
  <c r="W162" i="4" s="1"/>
  <c r="U34" i="4"/>
  <c r="V34" i="4" s="1"/>
  <c r="U64" i="4"/>
  <c r="W64" i="4" s="1"/>
  <c r="U177" i="4"/>
  <c r="W177" i="4" s="1"/>
  <c r="U118" i="4"/>
  <c r="V118" i="4" s="1"/>
  <c r="U189" i="4"/>
  <c r="V189" i="4" s="1"/>
  <c r="U6" i="4"/>
  <c r="V6" i="4" s="1"/>
  <c r="U25" i="4"/>
  <c r="V25" i="4" s="1"/>
  <c r="W53" i="4"/>
  <c r="AQ145" i="4"/>
  <c r="T145" i="4" s="1"/>
  <c r="O145" i="4" s="1"/>
  <c r="AQ111" i="4"/>
  <c r="T111" i="4" s="1"/>
  <c r="O111" i="4" s="1"/>
  <c r="AP8" i="4"/>
  <c r="S8" i="4" s="1"/>
  <c r="N8" i="4" s="1"/>
  <c r="W139" i="4"/>
  <c r="AP180" i="4"/>
  <c r="S180" i="4" s="1"/>
  <c r="N180" i="4" s="1"/>
  <c r="AQ66" i="4"/>
  <c r="T66" i="4" s="1"/>
  <c r="O66" i="4" s="1"/>
  <c r="AP48" i="4"/>
  <c r="S48" i="4" s="1"/>
  <c r="N48" i="4" s="1"/>
  <c r="AQ165" i="4"/>
  <c r="T165" i="4" s="1"/>
  <c r="O165" i="4" s="1"/>
  <c r="W112" i="4"/>
  <c r="V201" i="4"/>
  <c r="AP79" i="4"/>
  <c r="S79" i="4" s="1"/>
  <c r="N79" i="4" s="1"/>
  <c r="AQ183" i="4"/>
  <c r="T183" i="4" s="1"/>
  <c r="O183" i="4" s="1"/>
  <c r="AP80" i="4"/>
  <c r="S80" i="4" s="1"/>
  <c r="N80" i="4" s="1"/>
  <c r="AQ167" i="4"/>
  <c r="T167" i="4" s="1"/>
  <c r="O167" i="4" s="1"/>
  <c r="AP153" i="4"/>
  <c r="S153" i="4" s="1"/>
  <c r="N153" i="4" s="1"/>
  <c r="AP36" i="4"/>
  <c r="S36" i="4" s="1"/>
  <c r="N36" i="4" s="1"/>
  <c r="V107" i="4"/>
  <c r="V162" i="4"/>
  <c r="AQ187" i="4"/>
  <c r="T187" i="4" s="1"/>
  <c r="O187" i="4" s="1"/>
  <c r="AP135" i="4"/>
  <c r="S135" i="4" s="1"/>
  <c r="N135" i="4" s="1"/>
  <c r="W26" i="4"/>
  <c r="AP75" i="4"/>
  <c r="S75" i="4" s="1"/>
  <c r="N75" i="4" s="1"/>
  <c r="W75" i="4"/>
  <c r="V128" i="4"/>
  <c r="W89" i="4"/>
  <c r="AQ23" i="4"/>
  <c r="T23" i="4" s="1"/>
  <c r="O23" i="4" s="1"/>
  <c r="V85" i="4"/>
  <c r="V83" i="4"/>
  <c r="W86" i="4"/>
  <c r="W34" i="4"/>
  <c r="W8" i="4"/>
  <c r="AQ93" i="4"/>
  <c r="T93" i="4" s="1"/>
  <c r="O93" i="4" s="1"/>
  <c r="W13" i="4"/>
  <c r="V113" i="4"/>
  <c r="V141" i="4"/>
  <c r="V91" i="4"/>
  <c r="V46" i="4"/>
  <c r="V126" i="4"/>
  <c r="V12" i="4"/>
  <c r="W164" i="4"/>
  <c r="AP140" i="4"/>
  <c r="S140" i="4" s="1"/>
  <c r="N140" i="4" s="1"/>
  <c r="AP21" i="4"/>
  <c r="S21" i="4" s="1"/>
  <c r="N21" i="4" s="1"/>
  <c r="W140" i="4"/>
  <c r="W186" i="4"/>
  <c r="W193" i="4"/>
  <c r="W117" i="4"/>
  <c r="V27" i="4"/>
  <c r="AQ164" i="4"/>
  <c r="T164" i="4" s="1"/>
  <c r="O164" i="4" s="1"/>
  <c r="W136" i="4"/>
  <c r="AQ194" i="4"/>
  <c r="T194" i="4" s="1"/>
  <c r="O194" i="4" s="1"/>
  <c r="AQ154" i="4"/>
  <c r="T154" i="4" s="1"/>
  <c r="O154" i="4" s="1"/>
  <c r="AP44" i="4"/>
  <c r="S44" i="4" s="1"/>
  <c r="N44" i="4" s="1"/>
  <c r="AQ169" i="4"/>
  <c r="T169" i="4" s="1"/>
  <c r="O169" i="4" s="1"/>
  <c r="AQ97" i="4"/>
  <c r="T97" i="4" s="1"/>
  <c r="O97" i="4" s="1"/>
  <c r="V116" i="4"/>
  <c r="V97" i="4"/>
  <c r="W163" i="4"/>
  <c r="AQ158" i="4"/>
  <c r="T158" i="4" s="1"/>
  <c r="O158" i="4" s="1"/>
  <c r="W96" i="4"/>
  <c r="W143" i="4"/>
  <c r="V49" i="4"/>
  <c r="W39" i="4"/>
  <c r="V202" i="4"/>
  <c r="AP119" i="4"/>
  <c r="S119" i="4" s="1"/>
  <c r="N119" i="4" s="1"/>
  <c r="AP42" i="4"/>
  <c r="S42" i="4" s="1"/>
  <c r="N42" i="4" s="1"/>
  <c r="AQ178" i="4"/>
  <c r="T178" i="4" s="1"/>
  <c r="O178" i="4" s="1"/>
  <c r="W4" i="4"/>
  <c r="W77" i="4"/>
  <c r="W153" i="4"/>
  <c r="W119" i="4"/>
  <c r="W131" i="4"/>
  <c r="AP199" i="4"/>
  <c r="S199" i="4" s="1"/>
  <c r="N199" i="4" s="1"/>
  <c r="V161" i="4"/>
  <c r="AQ144" i="4"/>
  <c r="T144" i="4" s="1"/>
  <c r="O144" i="4" s="1"/>
  <c r="W114" i="4"/>
  <c r="AQ125" i="4"/>
  <c r="T125" i="4" s="1"/>
  <c r="O125" i="4" s="1"/>
  <c r="AQ27" i="4"/>
  <c r="T27" i="4" s="1"/>
  <c r="O27" i="4" s="1"/>
  <c r="W67" i="4"/>
  <c r="V10" i="4"/>
  <c r="W173" i="4"/>
  <c r="AP55" i="4"/>
  <c r="S55" i="4" s="1"/>
  <c r="N55" i="4" s="1"/>
  <c r="AP186" i="4"/>
  <c r="S186" i="4" s="1"/>
  <c r="N186" i="4" s="1"/>
  <c r="AQ137" i="4"/>
  <c r="T137" i="4" s="1"/>
  <c r="O137" i="4" s="1"/>
  <c r="AP120" i="4"/>
  <c r="S120" i="4" s="1"/>
  <c r="N120" i="4" s="1"/>
  <c r="W48" i="4"/>
  <c r="W181" i="4"/>
  <c r="V100" i="4"/>
  <c r="W69" i="4"/>
  <c r="AP49" i="4"/>
  <c r="S49" i="4" s="1"/>
  <c r="N49" i="4" s="1"/>
  <c r="AQ156" i="4"/>
  <c r="T156" i="4" s="1"/>
  <c r="O156" i="4" s="1"/>
  <c r="AP76" i="4"/>
  <c r="S76" i="4" s="1"/>
  <c r="N76" i="4" s="1"/>
  <c r="W22" i="4"/>
  <c r="W189" i="4"/>
  <c r="V55" i="4"/>
  <c r="V148" i="4"/>
  <c r="V212" i="4"/>
  <c r="AP41" i="4"/>
  <c r="S41" i="4" s="1"/>
  <c r="N41" i="4" s="1"/>
  <c r="V211" i="4"/>
  <c r="W63" i="4"/>
  <c r="V146" i="4"/>
  <c r="V191" i="4"/>
  <c r="W196" i="4"/>
  <c r="AP68" i="4"/>
  <c r="S68" i="4" s="1"/>
  <c r="N68" i="4" s="1"/>
  <c r="V151" i="4"/>
  <c r="AQ77" i="4"/>
  <c r="T77" i="4" s="1"/>
  <c r="O77" i="4" s="1"/>
  <c r="W130" i="4"/>
  <c r="W134" i="4"/>
  <c r="AQ192" i="4"/>
  <c r="T192" i="4" s="1"/>
  <c r="O192" i="4" s="1"/>
  <c r="W132" i="4"/>
  <c r="AP172" i="4"/>
  <c r="S172" i="4" s="1"/>
  <c r="N172" i="4" s="1"/>
  <c r="V207" i="4"/>
  <c r="V122" i="4"/>
  <c r="V29" i="4"/>
  <c r="AQ128" i="4"/>
  <c r="T128" i="4" s="1"/>
  <c r="O128" i="4" s="1"/>
  <c r="V68" i="4"/>
  <c r="AQ121" i="4"/>
  <c r="T121" i="4" s="1"/>
  <c r="O121" i="4" s="1"/>
  <c r="AQ18" i="4"/>
  <c r="T18" i="4" s="1"/>
  <c r="O18" i="4" s="1"/>
  <c r="AQ130" i="4"/>
  <c r="T130" i="4" s="1"/>
  <c r="O130" i="4" s="1"/>
  <c r="V52" i="4"/>
  <c r="W56" i="4"/>
  <c r="W78" i="4"/>
  <c r="AQ171" i="4"/>
  <c r="T171" i="4" s="1"/>
  <c r="O171" i="4" s="1"/>
  <c r="V111" i="4"/>
  <c r="AP13" i="4"/>
  <c r="S13" i="4" s="1"/>
  <c r="N13" i="4" s="1"/>
  <c r="AQ17" i="4"/>
  <c r="T17" i="4" s="1"/>
  <c r="O17" i="4" s="1"/>
  <c r="AQ198" i="4"/>
  <c r="T198" i="4" s="1"/>
  <c r="O198" i="4" s="1"/>
  <c r="W175" i="4"/>
  <c r="W98" i="4"/>
  <c r="W178" i="4"/>
  <c r="W210" i="4"/>
  <c r="V169" i="4"/>
  <c r="W105" i="4"/>
  <c r="AQ122" i="4"/>
  <c r="T122" i="4" s="1"/>
  <c r="O122" i="4" s="1"/>
  <c r="V21" i="4"/>
  <c r="W159" i="4"/>
  <c r="W133" i="4"/>
  <c r="AP7" i="4"/>
  <c r="S7" i="4" s="1"/>
  <c r="N7" i="4" s="1"/>
  <c r="AP70" i="4"/>
  <c r="S70" i="4" s="1"/>
  <c r="N70" i="4" s="1"/>
  <c r="AP107" i="4"/>
  <c r="S107" i="4" s="1"/>
  <c r="N107" i="4" s="1"/>
  <c r="V16" i="4"/>
  <c r="W109" i="4"/>
  <c r="AQ61" i="4"/>
  <c r="T61" i="4" s="1"/>
  <c r="O61" i="4" s="1"/>
  <c r="W93" i="4"/>
  <c r="AP190" i="4"/>
  <c r="S190" i="4" s="1"/>
  <c r="N190" i="4" s="1"/>
  <c r="AP22" i="4"/>
  <c r="S22" i="4" s="1"/>
  <c r="N22" i="4" s="1"/>
  <c r="AQ197" i="4"/>
  <c r="T197" i="4" s="1"/>
  <c r="O197" i="4" s="1"/>
  <c r="AP43" i="4"/>
  <c r="S43" i="4" s="1"/>
  <c r="N43" i="4" s="1"/>
  <c r="AQ71" i="4"/>
  <c r="T71" i="4" s="1"/>
  <c r="O71" i="4" s="1"/>
  <c r="AP98" i="4"/>
  <c r="S98" i="4" s="1"/>
  <c r="N98" i="4" s="1"/>
  <c r="W197" i="4"/>
  <c r="V160" i="4"/>
  <c r="W195" i="4"/>
  <c r="W110" i="4"/>
  <c r="W209" i="4"/>
  <c r="V157" i="4"/>
  <c r="W24" i="4"/>
  <c r="V14" i="4"/>
  <c r="AQ127" i="4"/>
  <c r="T127" i="4" s="1"/>
  <c r="O127" i="4" s="1"/>
  <c r="AP208" i="4"/>
  <c r="S208" i="4" s="1"/>
  <c r="N208" i="4" s="1"/>
  <c r="V145" i="4"/>
  <c r="V2" i="4"/>
  <c r="V158" i="4"/>
  <c r="AQ85" i="4"/>
  <c r="T85" i="4" s="1"/>
  <c r="O85" i="4" s="1"/>
  <c r="AQ159" i="4"/>
  <c r="T159" i="4" s="1"/>
  <c r="O159" i="4" s="1"/>
  <c r="AQ20" i="4"/>
  <c r="T20" i="4" s="1"/>
  <c r="O20" i="4" s="1"/>
  <c r="AP104" i="4"/>
  <c r="S104" i="4" s="1"/>
  <c r="N104" i="4" s="1"/>
  <c r="W198" i="4"/>
  <c r="W99" i="4"/>
  <c r="W32" i="4"/>
  <c r="V33" i="4"/>
  <c r="W94" i="4"/>
  <c r="W92" i="4"/>
  <c r="V47" i="4"/>
  <c r="V65" i="4"/>
  <c r="W31" i="4"/>
  <c r="AQ185" i="4"/>
  <c r="T185" i="4" s="1"/>
  <c r="O185" i="4" s="1"/>
  <c r="AQ30" i="4"/>
  <c r="T30" i="4" s="1"/>
  <c r="O30" i="4" s="1"/>
  <c r="AP30" i="4"/>
  <c r="S30" i="4" s="1"/>
  <c r="N30" i="4" s="1"/>
  <c r="V183" i="4"/>
  <c r="W127" i="4"/>
  <c r="AP189" i="4"/>
  <c r="S189" i="4" s="1"/>
  <c r="N189" i="4" s="1"/>
  <c r="V149" i="4"/>
  <c r="W165" i="4"/>
  <c r="V41" i="4"/>
  <c r="AQ152" i="4"/>
  <c r="T152" i="4" s="1"/>
  <c r="O152" i="4" s="1"/>
  <c r="AQ184" i="4"/>
  <c r="T184" i="4" s="1"/>
  <c r="O184" i="4" s="1"/>
  <c r="AP28" i="4"/>
  <c r="S28" i="4" s="1"/>
  <c r="N28" i="4" s="1"/>
  <c r="W168" i="4"/>
  <c r="W23" i="4"/>
  <c r="V137" i="4"/>
  <c r="V54" i="4"/>
  <c r="W15" i="4"/>
  <c r="AQ52" i="4"/>
  <c r="T52" i="4" s="1"/>
  <c r="O52" i="4" s="1"/>
  <c r="AP96" i="4"/>
  <c r="S96" i="4" s="1"/>
  <c r="N96" i="4" s="1"/>
  <c r="AP148" i="4"/>
  <c r="S148" i="4" s="1"/>
  <c r="N148" i="4" s="1"/>
  <c r="AQ33" i="4"/>
  <c r="T33" i="4" s="1"/>
  <c r="O33" i="4" s="1"/>
  <c r="AQ139" i="4"/>
  <c r="T139" i="4" s="1"/>
  <c r="O139" i="4" s="1"/>
  <c r="W95" i="4"/>
  <c r="W190" i="4"/>
  <c r="V87" i="4"/>
  <c r="V82" i="4"/>
  <c r="W125" i="4"/>
  <c r="AP12" i="4"/>
  <c r="S12" i="4" s="1"/>
  <c r="N12" i="4" s="1"/>
  <c r="AQ29" i="4"/>
  <c r="T29" i="4" s="1"/>
  <c r="O29" i="4" s="1"/>
  <c r="AP103" i="4"/>
  <c r="S103" i="4" s="1"/>
  <c r="N103" i="4" s="1"/>
  <c r="W9" i="4"/>
  <c r="AQ155" i="4"/>
  <c r="T155" i="4" s="1"/>
  <c r="O155" i="4" s="1"/>
  <c r="AQ201" i="4"/>
  <c r="T201" i="4" s="1"/>
  <c r="O201" i="4" s="1"/>
  <c r="AP201" i="4"/>
  <c r="S201" i="4" s="1"/>
  <c r="N201" i="4" s="1"/>
  <c r="AP6" i="4"/>
  <c r="S6" i="4" s="1"/>
  <c r="N6" i="4" s="1"/>
  <c r="AQ6" i="4"/>
  <c r="T6" i="4" s="1"/>
  <c r="O6" i="4" s="1"/>
  <c r="AP9" i="4"/>
  <c r="S9" i="4" s="1"/>
  <c r="N9" i="4" s="1"/>
  <c r="AQ9" i="4"/>
  <c r="T9" i="4" s="1"/>
  <c r="O9" i="4" s="1"/>
  <c r="AP210" i="4"/>
  <c r="S210" i="4" s="1"/>
  <c r="N210" i="4" s="1"/>
  <c r="AQ210" i="4"/>
  <c r="T210" i="4" s="1"/>
  <c r="O210" i="4" s="1"/>
  <c r="AP209" i="4"/>
  <c r="S209" i="4" s="1"/>
  <c r="N209" i="4" s="1"/>
  <c r="AQ209" i="4"/>
  <c r="T209" i="4" s="1"/>
  <c r="O209" i="4" s="1"/>
  <c r="AP206" i="4"/>
  <c r="S206" i="4" s="1"/>
  <c r="N206" i="4" s="1"/>
  <c r="AQ206" i="4"/>
  <c r="T206" i="4" s="1"/>
  <c r="O206" i="4" s="1"/>
  <c r="AP11" i="4"/>
  <c r="S11" i="4" s="1"/>
  <c r="N11" i="4" s="1"/>
  <c r="AQ11" i="4"/>
  <c r="T11" i="4" s="1"/>
  <c r="O11" i="4" s="1"/>
  <c r="AP112" i="4"/>
  <c r="S112" i="4" s="1"/>
  <c r="N112" i="4" s="1"/>
  <c r="AQ112" i="4"/>
  <c r="T112" i="4" s="1"/>
  <c r="O112" i="4" s="1"/>
  <c r="AQ10" i="4"/>
  <c r="T10" i="4" s="1"/>
  <c r="O10" i="4" s="1"/>
  <c r="AP10" i="4"/>
  <c r="S10" i="4" s="1"/>
  <c r="N10" i="4" s="1"/>
  <c r="AP174" i="4"/>
  <c r="S174" i="4" s="1"/>
  <c r="N174" i="4" s="1"/>
  <c r="AQ174" i="4"/>
  <c r="T174" i="4" s="1"/>
  <c r="O174" i="4" s="1"/>
  <c r="AQ126" i="4"/>
  <c r="T126" i="4" s="1"/>
  <c r="O126" i="4" s="1"/>
  <c r="AP126" i="4"/>
  <c r="S126" i="4" s="1"/>
  <c r="N126" i="4" s="1"/>
  <c r="AQ46" i="4"/>
  <c r="T46" i="4" s="1"/>
  <c r="O46" i="4" s="1"/>
  <c r="AP46" i="4"/>
  <c r="S46" i="4" s="1"/>
  <c r="N46" i="4" s="1"/>
  <c r="AQ5" i="4"/>
  <c r="T5" i="4" s="1"/>
  <c r="O5" i="4" s="1"/>
  <c r="AP5" i="4"/>
  <c r="S5" i="4" s="1"/>
  <c r="N5" i="4" s="1"/>
  <c r="AP89" i="4"/>
  <c r="S89" i="4" s="1"/>
  <c r="N89" i="4" s="1"/>
  <c r="AQ89" i="4"/>
  <c r="T89" i="4" s="1"/>
  <c r="O89" i="4" s="1"/>
  <c r="W124" i="4"/>
  <c r="W203" i="4"/>
  <c r="V203" i="4"/>
  <c r="AP166" i="4"/>
  <c r="S166" i="4" s="1"/>
  <c r="N166" i="4" s="1"/>
  <c r="AQ166" i="4"/>
  <c r="T166" i="4" s="1"/>
  <c r="O166" i="4" s="1"/>
  <c r="AP37" i="4"/>
  <c r="S37" i="4" s="1"/>
  <c r="N37" i="4" s="1"/>
  <c r="AQ37" i="4"/>
  <c r="T37" i="4" s="1"/>
  <c r="O37" i="4" s="1"/>
  <c r="AQ54" i="4"/>
  <c r="T54" i="4" s="1"/>
  <c r="O54" i="4" s="1"/>
  <c r="AP54" i="4"/>
  <c r="S54" i="4" s="1"/>
  <c r="N54" i="4" s="1"/>
  <c r="AP47" i="4"/>
  <c r="S47" i="4" s="1"/>
  <c r="N47" i="4" s="1"/>
  <c r="AQ47" i="4"/>
  <c r="T47" i="4" s="1"/>
  <c r="O47" i="4" s="1"/>
  <c r="AP57" i="4"/>
  <c r="S57" i="4" s="1"/>
  <c r="N57" i="4" s="1"/>
  <c r="AQ57" i="4"/>
  <c r="T57" i="4" s="1"/>
  <c r="O57" i="4" s="1"/>
  <c r="AP63" i="4"/>
  <c r="S63" i="4" s="1"/>
  <c r="N63" i="4" s="1"/>
  <c r="AQ63" i="4"/>
  <c r="T63" i="4" s="1"/>
  <c r="O63" i="4" s="1"/>
  <c r="AP14" i="4"/>
  <c r="S14" i="4" s="1"/>
  <c r="N14" i="4" s="1"/>
  <c r="AQ14" i="4"/>
  <c r="T14" i="4" s="1"/>
  <c r="O14" i="4" s="1"/>
  <c r="AP160" i="4"/>
  <c r="S160" i="4" s="1"/>
  <c r="N160" i="4" s="1"/>
  <c r="AQ160" i="4"/>
  <c r="T160" i="4" s="1"/>
  <c r="O160" i="4" s="1"/>
  <c r="AQ31" i="4"/>
  <c r="T31" i="4" s="1"/>
  <c r="O31" i="4" s="1"/>
  <c r="AP31" i="4"/>
  <c r="S31" i="4" s="1"/>
  <c r="N31" i="4" s="1"/>
  <c r="AP25" i="4"/>
  <c r="S25" i="4" s="1"/>
  <c r="N25" i="4" s="1"/>
  <c r="AQ25" i="4"/>
  <c r="T25" i="4" s="1"/>
  <c r="O25" i="4" s="1"/>
  <c r="AP129" i="4"/>
  <c r="S129" i="4" s="1"/>
  <c r="N129" i="4" s="1"/>
  <c r="AQ129" i="4"/>
  <c r="T129" i="4" s="1"/>
  <c r="O129" i="4" s="1"/>
  <c r="AP124" i="4"/>
  <c r="S124" i="4" s="1"/>
  <c r="N124" i="4" s="1"/>
  <c r="AQ124" i="4"/>
  <c r="T124" i="4" s="1"/>
  <c r="O124" i="4" s="1"/>
  <c r="AQ81" i="4"/>
  <c r="T81" i="4" s="1"/>
  <c r="O81" i="4" s="1"/>
  <c r="AP81" i="4"/>
  <c r="S81" i="4" s="1"/>
  <c r="N81" i="4" s="1"/>
  <c r="AP106" i="4"/>
  <c r="S106" i="4" s="1"/>
  <c r="N106" i="4" s="1"/>
  <c r="AQ106" i="4"/>
  <c r="T106" i="4" s="1"/>
  <c r="O106" i="4" s="1"/>
  <c r="AQ32" i="4"/>
  <c r="T32" i="4" s="1"/>
  <c r="O32" i="4" s="1"/>
  <c r="AP32" i="4"/>
  <c r="S32" i="4" s="1"/>
  <c r="N32" i="4" s="1"/>
  <c r="AP53" i="4"/>
  <c r="S53" i="4" s="1"/>
  <c r="N53" i="4" s="1"/>
  <c r="AQ53" i="4"/>
  <c r="T53" i="4" s="1"/>
  <c r="O53" i="4" s="1"/>
  <c r="AQ191" i="4"/>
  <c r="T191" i="4" s="1"/>
  <c r="O191" i="4" s="1"/>
  <c r="AP191" i="4"/>
  <c r="S191" i="4" s="1"/>
  <c r="N191" i="4" s="1"/>
  <c r="AQ182" i="4"/>
  <c r="T182" i="4" s="1"/>
  <c r="O182" i="4" s="1"/>
  <c r="AP182" i="4"/>
  <c r="S182" i="4" s="1"/>
  <c r="N182" i="4" s="1"/>
  <c r="AQ207" i="4"/>
  <c r="T207" i="4" s="1"/>
  <c r="O207" i="4" s="1"/>
  <c r="AP207" i="4"/>
  <c r="S207" i="4" s="1"/>
  <c r="N207" i="4" s="1"/>
  <c r="AP173" i="4"/>
  <c r="S173" i="4" s="1"/>
  <c r="N173" i="4" s="1"/>
  <c r="AP15" i="4"/>
  <c r="S15" i="4" s="1"/>
  <c r="N15" i="4" s="1"/>
  <c r="AQ15" i="4"/>
  <c r="T15" i="4" s="1"/>
  <c r="O15" i="4" s="1"/>
  <c r="W61" i="4"/>
  <c r="W142" i="4"/>
  <c r="W152" i="4"/>
  <c r="W204" i="4"/>
  <c r="W171" i="4"/>
  <c r="V88" i="4"/>
  <c r="V66" i="4"/>
  <c r="W58" i="4"/>
  <c r="V108" i="4"/>
  <c r="AP74" i="4"/>
  <c r="S74" i="4" s="1"/>
  <c r="N74" i="4" s="1"/>
  <c r="AQ202" i="4"/>
  <c r="T202" i="4" s="1"/>
  <c r="O202" i="4" s="1"/>
  <c r="V90" i="4"/>
  <c r="V179" i="4"/>
  <c r="AP59" i="4"/>
  <c r="S59" i="4" s="1"/>
  <c r="N59" i="4" s="1"/>
  <c r="AP73" i="4"/>
  <c r="S73" i="4" s="1"/>
  <c r="N73" i="4" s="1"/>
  <c r="AQ73" i="4"/>
  <c r="T73" i="4" s="1"/>
  <c r="O73" i="4" s="1"/>
  <c r="AP188" i="4"/>
  <c r="S188" i="4" s="1"/>
  <c r="N188" i="4" s="1"/>
  <c r="AQ188" i="4"/>
  <c r="T188" i="4" s="1"/>
  <c r="O188" i="4" s="1"/>
  <c r="AP105" i="4"/>
  <c r="S105" i="4" s="1"/>
  <c r="N105" i="4" s="1"/>
  <c r="AQ105" i="4"/>
  <c r="T105" i="4" s="1"/>
  <c r="O105" i="4" s="1"/>
  <c r="AQ58" i="4"/>
  <c r="T58" i="4" s="1"/>
  <c r="O58" i="4" s="1"/>
  <c r="AP58" i="4"/>
  <c r="S58" i="4" s="1"/>
  <c r="N58" i="4" s="1"/>
  <c r="AP175" i="4"/>
  <c r="S175" i="4" s="1"/>
  <c r="N175" i="4" s="1"/>
  <c r="AQ175" i="4"/>
  <c r="T175" i="4" s="1"/>
  <c r="O175" i="4" s="1"/>
  <c r="AP176" i="4"/>
  <c r="S176" i="4" s="1"/>
  <c r="N176" i="4" s="1"/>
  <c r="AQ176" i="4"/>
  <c r="T176" i="4" s="1"/>
  <c r="O176" i="4" s="1"/>
  <c r="AQ162" i="4"/>
  <c r="T162" i="4" s="1"/>
  <c r="O162" i="4" s="1"/>
  <c r="AP162" i="4"/>
  <c r="S162" i="4" s="1"/>
  <c r="N162" i="4" s="1"/>
  <c r="AQ84" i="4"/>
  <c r="T84" i="4" s="1"/>
  <c r="O84" i="4" s="1"/>
  <c r="AP84" i="4"/>
  <c r="S84" i="4" s="1"/>
  <c r="N84" i="4" s="1"/>
  <c r="AQ16" i="4"/>
  <c r="T16" i="4" s="1"/>
  <c r="O16" i="4" s="1"/>
  <c r="AP16" i="4"/>
  <c r="S16" i="4" s="1"/>
  <c r="N16" i="4" s="1"/>
  <c r="AQ149" i="4"/>
  <c r="T149" i="4" s="1"/>
  <c r="O149" i="4" s="1"/>
  <c r="AP149" i="4"/>
  <c r="S149" i="4" s="1"/>
  <c r="N149" i="4" s="1"/>
  <c r="AP203" i="4"/>
  <c r="S203" i="4" s="1"/>
  <c r="N203" i="4" s="1"/>
  <c r="AQ203" i="4"/>
  <c r="T203" i="4" s="1"/>
  <c r="O203" i="4" s="1"/>
  <c r="AP141" i="4"/>
  <c r="S141" i="4" s="1"/>
  <c r="N141" i="4" s="1"/>
  <c r="AQ141" i="4"/>
  <c r="T141" i="4" s="1"/>
  <c r="O141" i="4" s="1"/>
  <c r="AQ113" i="4"/>
  <c r="T113" i="4" s="1"/>
  <c r="O113" i="4" s="1"/>
  <c r="AP113" i="4"/>
  <c r="S113" i="4" s="1"/>
  <c r="N113" i="4" s="1"/>
  <c r="AP133" i="4"/>
  <c r="S133" i="4" s="1"/>
  <c r="N133" i="4" s="1"/>
  <c r="AQ133" i="4"/>
  <c r="T133" i="4" s="1"/>
  <c r="O133" i="4" s="1"/>
  <c r="AQ101" i="4"/>
  <c r="T101" i="4" s="1"/>
  <c r="O101" i="4" s="1"/>
  <c r="AP101" i="4"/>
  <c r="S101" i="4" s="1"/>
  <c r="N101" i="4" s="1"/>
  <c r="AP69" i="4"/>
  <c r="S69" i="4" s="1"/>
  <c r="N69" i="4" s="1"/>
  <c r="AQ69" i="4"/>
  <c r="T69" i="4" s="1"/>
  <c r="O69" i="4" s="1"/>
  <c r="AP143" i="4"/>
  <c r="S143" i="4" s="1"/>
  <c r="N143" i="4" s="1"/>
  <c r="AQ143" i="4"/>
  <c r="T143" i="4" s="1"/>
  <c r="O143" i="4" s="1"/>
  <c r="AQ177" i="4"/>
  <c r="T177" i="4" s="1"/>
  <c r="O177" i="4" s="1"/>
  <c r="AP177" i="4"/>
  <c r="S177" i="4" s="1"/>
  <c r="N177" i="4" s="1"/>
  <c r="V36" i="4"/>
  <c r="W38" i="4"/>
  <c r="AP26" i="4"/>
  <c r="S26" i="4" s="1"/>
  <c r="N26" i="4" s="1"/>
  <c r="W43" i="4"/>
  <c r="W81" i="4"/>
  <c r="V129" i="4"/>
  <c r="V185" i="4"/>
  <c r="V3" i="4"/>
  <c r="AQ151" i="4"/>
  <c r="T151" i="4" s="1"/>
  <c r="O151" i="4" s="1"/>
  <c r="AP38" i="4"/>
  <c r="S38" i="4" s="1"/>
  <c r="N38" i="4" s="1"/>
  <c r="W180" i="4"/>
  <c r="W28" i="4"/>
  <c r="V62" i="4"/>
  <c r="AQ50" i="4"/>
  <c r="T50" i="4" s="1"/>
  <c r="O50" i="4" s="1"/>
  <c r="AP60" i="4"/>
  <c r="S60" i="4" s="1"/>
  <c r="N60" i="4" s="1"/>
  <c r="AP39" i="4"/>
  <c r="S39" i="4" s="1"/>
  <c r="N39" i="4" s="1"/>
  <c r="AQ87" i="4"/>
  <c r="T87" i="4" s="1"/>
  <c r="O87" i="4" s="1"/>
  <c r="AP86" i="4"/>
  <c r="S86" i="4" s="1"/>
  <c r="N86" i="4" s="1"/>
  <c r="AQ117" i="4"/>
  <c r="T117" i="4" s="1"/>
  <c r="O117" i="4" s="1"/>
  <c r="AP117" i="4"/>
  <c r="S117" i="4" s="1"/>
  <c r="N117" i="4" s="1"/>
  <c r="AP91" i="4"/>
  <c r="S91" i="4" s="1"/>
  <c r="N91" i="4" s="1"/>
  <c r="AQ91" i="4"/>
  <c r="T91" i="4" s="1"/>
  <c r="O91" i="4" s="1"/>
  <c r="AQ116" i="4"/>
  <c r="T116" i="4" s="1"/>
  <c r="O116" i="4" s="1"/>
  <c r="AP116" i="4"/>
  <c r="S116" i="4" s="1"/>
  <c r="N116" i="4" s="1"/>
  <c r="AQ82" i="4"/>
  <c r="T82" i="4" s="1"/>
  <c r="O82" i="4" s="1"/>
  <c r="AP82" i="4"/>
  <c r="S82" i="4" s="1"/>
  <c r="N82" i="4" s="1"/>
  <c r="AQ64" i="4"/>
  <c r="T64" i="4" s="1"/>
  <c r="O64" i="4" s="1"/>
  <c r="AP64" i="4"/>
  <c r="S64" i="4" s="1"/>
  <c r="N64" i="4" s="1"/>
  <c r="V200" i="4"/>
  <c r="W200" i="4"/>
  <c r="AQ65" i="4"/>
  <c r="T65" i="4" s="1"/>
  <c r="O65" i="4" s="1"/>
  <c r="AP65" i="4"/>
  <c r="S65" i="4" s="1"/>
  <c r="N65" i="4" s="1"/>
  <c r="AP114" i="4"/>
  <c r="S114" i="4" s="1"/>
  <c r="N114" i="4" s="1"/>
  <c r="AQ114" i="4"/>
  <c r="T114" i="4" s="1"/>
  <c r="O114" i="4" s="1"/>
  <c r="AQ150" i="4"/>
  <c r="T150" i="4" s="1"/>
  <c r="O150" i="4" s="1"/>
  <c r="AP150" i="4"/>
  <c r="S150" i="4" s="1"/>
  <c r="N150" i="4" s="1"/>
  <c r="AQ62" i="4"/>
  <c r="T62" i="4" s="1"/>
  <c r="O62" i="4" s="1"/>
  <c r="AP62" i="4"/>
  <c r="S62" i="4" s="1"/>
  <c r="N62" i="4" s="1"/>
  <c r="AP193" i="4"/>
  <c r="S193" i="4" s="1"/>
  <c r="N193" i="4" s="1"/>
  <c r="AQ193" i="4"/>
  <c r="T193" i="4" s="1"/>
  <c r="O193" i="4" s="1"/>
  <c r="AP102" i="4"/>
  <c r="S102" i="4" s="1"/>
  <c r="N102" i="4" s="1"/>
  <c r="AQ102" i="4"/>
  <c r="T102" i="4" s="1"/>
  <c r="O102" i="4" s="1"/>
  <c r="AP108" i="4"/>
  <c r="S108" i="4" s="1"/>
  <c r="N108" i="4" s="1"/>
  <c r="AQ108" i="4"/>
  <c r="T108" i="4" s="1"/>
  <c r="O108" i="4" s="1"/>
  <c r="AQ123" i="4"/>
  <c r="T123" i="4" s="1"/>
  <c r="O123" i="4" s="1"/>
  <c r="AP123" i="4"/>
  <c r="S123" i="4" s="1"/>
  <c r="N123" i="4" s="1"/>
  <c r="AQ181" i="4"/>
  <c r="T181" i="4" s="1"/>
  <c r="O181" i="4" s="1"/>
  <c r="AP181" i="4"/>
  <c r="S181" i="4" s="1"/>
  <c r="N181" i="4" s="1"/>
  <c r="AP170" i="4"/>
  <c r="S170" i="4" s="1"/>
  <c r="N170" i="4" s="1"/>
  <c r="AQ170" i="4"/>
  <c r="T170" i="4" s="1"/>
  <c r="O170" i="4" s="1"/>
  <c r="AQ118" i="4"/>
  <c r="T118" i="4" s="1"/>
  <c r="O118" i="4" s="1"/>
  <c r="AP118" i="4"/>
  <c r="S118" i="4" s="1"/>
  <c r="N118" i="4" s="1"/>
  <c r="AP95" i="4"/>
  <c r="S95" i="4" s="1"/>
  <c r="N95" i="4" s="1"/>
  <c r="AQ95" i="4"/>
  <c r="T95" i="4" s="1"/>
  <c r="O95" i="4" s="1"/>
  <c r="AP134" i="4"/>
  <c r="S134" i="4" s="1"/>
  <c r="N134" i="4" s="1"/>
  <c r="AQ134" i="4"/>
  <c r="T134" i="4" s="1"/>
  <c r="O134" i="4" s="1"/>
  <c r="AQ40" i="4"/>
  <c r="T40" i="4" s="1"/>
  <c r="O40" i="4" s="1"/>
  <c r="AQ45" i="4"/>
  <c r="T45" i="4" s="1"/>
  <c r="O45" i="4" s="1"/>
  <c r="AQ19" i="4"/>
  <c r="T19" i="4" s="1"/>
  <c r="O19" i="4" s="1"/>
  <c r="AQ195" i="4"/>
  <c r="T195" i="4" s="1"/>
  <c r="O195" i="4" s="1"/>
  <c r="AP147" i="4"/>
  <c r="S147" i="4" s="1"/>
  <c r="N147" i="4" s="1"/>
  <c r="AP138" i="4"/>
  <c r="S138" i="4" s="1"/>
  <c r="N138" i="4" s="1"/>
  <c r="AQ67" i="4"/>
  <c r="T67" i="4" s="1"/>
  <c r="O67" i="4" s="1"/>
  <c r="AQ131" i="4"/>
  <c r="T131" i="4" s="1"/>
  <c r="O131" i="4" s="1"/>
  <c r="AP163" i="4"/>
  <c r="S163" i="4" s="1"/>
  <c r="N163" i="4" s="1"/>
  <c r="AQ99" i="4"/>
  <c r="T99" i="4" s="1"/>
  <c r="O99" i="4" s="1"/>
  <c r="AU88" i="4"/>
  <c r="AV88" i="4"/>
  <c r="AU109" i="4"/>
  <c r="AV109" i="4"/>
  <c r="AU161" i="4"/>
  <c r="AV161" i="4"/>
  <c r="AU99" i="4"/>
  <c r="AV99" i="4"/>
  <c r="AU19" i="4"/>
  <c r="AV19" i="4"/>
  <c r="AU72" i="4"/>
  <c r="AV72" i="4"/>
  <c r="AU90" i="4"/>
  <c r="AV90" i="4"/>
  <c r="AU131" i="4"/>
  <c r="AV131" i="4"/>
  <c r="AU142" i="4"/>
  <c r="AV142" i="4"/>
  <c r="AU56" i="4"/>
  <c r="AV56" i="4"/>
  <c r="AU163" i="4"/>
  <c r="AV163" i="4"/>
  <c r="AU67" i="4"/>
  <c r="AV67" i="4"/>
  <c r="AU94" i="4"/>
  <c r="AV94" i="4"/>
  <c r="AU200" i="4"/>
  <c r="AV200" i="4"/>
  <c r="AU179" i="4"/>
  <c r="AV179" i="4"/>
  <c r="AU83" i="4"/>
  <c r="AV83" i="4"/>
  <c r="AU168" i="4"/>
  <c r="AV168" i="4"/>
  <c r="AU136" i="4"/>
  <c r="AV136" i="4"/>
  <c r="AU24" i="4"/>
  <c r="AV24" i="4"/>
  <c r="AU195" i="4"/>
  <c r="AV195" i="4"/>
  <c r="AU212" i="4"/>
  <c r="AV212" i="4"/>
  <c r="AU45" i="4"/>
  <c r="AV45" i="4"/>
  <c r="AU40" i="4"/>
  <c r="AV40" i="4"/>
  <c r="AU211" i="4"/>
  <c r="AV211" i="4"/>
  <c r="AU3" i="4"/>
  <c r="AV3" i="4"/>
  <c r="AU146" i="4"/>
  <c r="AV146" i="4"/>
  <c r="AU138" i="4"/>
  <c r="AV138" i="4"/>
  <c r="AU147" i="4"/>
  <c r="AV147" i="4"/>
  <c r="AU51" i="4"/>
  <c r="AV51" i="4"/>
  <c r="AU34" i="4"/>
  <c r="AV34" i="4"/>
  <c r="AU205" i="4"/>
  <c r="AV205" i="4"/>
  <c r="AU115" i="4"/>
  <c r="AV115" i="4"/>
  <c r="AU35" i="4"/>
  <c r="AV35" i="4"/>
  <c r="O147" i="4"/>
  <c r="AP51" i="4"/>
  <c r="S51" i="4" s="1"/>
  <c r="N51" i="4" s="1"/>
  <c r="AP3" i="4"/>
  <c r="S3" i="4" s="1"/>
  <c r="N3" i="4" s="1"/>
  <c r="O51" i="4"/>
  <c r="AP211" i="4"/>
  <c r="S211" i="4" s="1"/>
  <c r="N211" i="4" s="1"/>
  <c r="O138" i="4"/>
  <c r="AP24" i="4"/>
  <c r="S24" i="4" s="1"/>
  <c r="N24" i="4" s="1"/>
  <c r="O72" i="4"/>
  <c r="O163" i="4"/>
  <c r="AP56" i="4"/>
  <c r="S56" i="4" s="1"/>
  <c r="N56" i="4" s="1"/>
  <c r="AQ179" i="4"/>
  <c r="T179" i="4" s="1"/>
  <c r="AP90" i="4"/>
  <c r="S90" i="4" s="1"/>
  <c r="N90" i="4" s="1"/>
  <c r="AP142" i="4"/>
  <c r="S142" i="4" s="1"/>
  <c r="N142" i="4" s="1"/>
  <c r="O142" i="4"/>
  <c r="O56" i="4"/>
  <c r="O90" i="4"/>
  <c r="AP72" i="4"/>
  <c r="S72" i="4" s="1"/>
  <c r="N72" i="4" s="1"/>
  <c r="AQ88" i="4"/>
  <c r="T88" i="4" s="1"/>
  <c r="AP88" i="4"/>
  <c r="S88" i="4" s="1"/>
  <c r="N88" i="4" s="1"/>
  <c r="AQ109" i="4"/>
  <c r="T109" i="4" s="1"/>
  <c r="AP109" i="4"/>
  <c r="S109" i="4" s="1"/>
  <c r="N109" i="4" s="1"/>
  <c r="AP161" i="4"/>
  <c r="S161" i="4" s="1"/>
  <c r="N161" i="4" s="1"/>
  <c r="AQ161" i="4"/>
  <c r="T161" i="4" s="1"/>
  <c r="AQ94" i="4"/>
  <c r="T94" i="4" s="1"/>
  <c r="AP94" i="4"/>
  <c r="S94" i="4" s="1"/>
  <c r="N94" i="4" s="1"/>
  <c r="AQ200" i="4"/>
  <c r="T200" i="4" s="1"/>
  <c r="AP200" i="4"/>
  <c r="S200" i="4" s="1"/>
  <c r="N200" i="4" s="1"/>
  <c r="AP83" i="4"/>
  <c r="S83" i="4" s="1"/>
  <c r="N83" i="4" s="1"/>
  <c r="AQ83" i="4"/>
  <c r="T83" i="4" s="1"/>
  <c r="AP168" i="4"/>
  <c r="S168" i="4" s="1"/>
  <c r="N168" i="4" s="1"/>
  <c r="AQ168" i="4"/>
  <c r="T168" i="4" s="1"/>
  <c r="AQ136" i="4"/>
  <c r="T136" i="4" s="1"/>
  <c r="AP136" i="4"/>
  <c r="S136" i="4" s="1"/>
  <c r="N136" i="4" s="1"/>
  <c r="AP212" i="4"/>
  <c r="S212" i="4" s="1"/>
  <c r="N212" i="4" s="1"/>
  <c r="AQ212" i="4"/>
  <c r="T212" i="4" s="1"/>
  <c r="AP146" i="4"/>
  <c r="S146" i="4" s="1"/>
  <c r="N146" i="4" s="1"/>
  <c r="AQ146" i="4"/>
  <c r="T146" i="4" s="1"/>
  <c r="AQ34" i="4"/>
  <c r="T34" i="4" s="1"/>
  <c r="AP34" i="4"/>
  <c r="S34" i="4" s="1"/>
  <c r="N34" i="4" s="1"/>
  <c r="AP205" i="4"/>
  <c r="S205" i="4" s="1"/>
  <c r="N205" i="4" s="1"/>
  <c r="AQ205" i="4"/>
  <c r="T205" i="4" s="1"/>
  <c r="AP115" i="4"/>
  <c r="S115" i="4" s="1"/>
  <c r="N115" i="4" s="1"/>
  <c r="AQ115" i="4"/>
  <c r="T115" i="4" s="1"/>
  <c r="AP35" i="4"/>
  <c r="S35" i="4" s="1"/>
  <c r="N35" i="4" s="1"/>
  <c r="AQ35" i="4"/>
  <c r="T35" i="4" s="1"/>
  <c r="O196" i="4"/>
  <c r="O4" i="4"/>
  <c r="W25" i="4" l="1"/>
  <c r="W206" i="4"/>
  <c r="V177" i="4"/>
  <c r="V7" i="4"/>
  <c r="W166" i="4"/>
  <c r="V20" i="4"/>
  <c r="W59" i="4"/>
  <c r="V156" i="4"/>
  <c r="V192" i="4"/>
  <c r="V72" i="4"/>
  <c r="W104" i="4"/>
  <c r="W101" i="4"/>
  <c r="W154" i="4"/>
  <c r="W102" i="4"/>
  <c r="W5" i="4"/>
  <c r="W150" i="4"/>
  <c r="W70" i="4"/>
  <c r="V17" i="4"/>
  <c r="W17" i="4"/>
  <c r="V208" i="4"/>
  <c r="W208" i="4"/>
  <c r="V80" i="4"/>
  <c r="V57" i="4"/>
  <c r="W30" i="4"/>
  <c r="V167" i="4"/>
  <c r="V45" i="4"/>
  <c r="W176" i="4"/>
  <c r="V120" i="4"/>
  <c r="W60" i="4"/>
  <c r="V18" i="4"/>
  <c r="W11" i="4"/>
  <c r="W6" i="4"/>
  <c r="W73" i="4"/>
  <c r="W182" i="4"/>
  <c r="V199" i="4"/>
  <c r="V106" i="4"/>
  <c r="W115" i="4"/>
  <c r="V115" i="4"/>
  <c r="W74" i="4"/>
  <c r="V74" i="4"/>
  <c r="V123" i="4"/>
  <c r="W147" i="4"/>
  <c r="V42" i="4"/>
  <c r="W51" i="4"/>
  <c r="W35" i="4"/>
  <c r="W118" i="4"/>
  <c r="V64" i="4"/>
  <c r="V84" i="4"/>
  <c r="W19" i="4"/>
  <c r="V19" i="4"/>
  <c r="V187" i="4"/>
  <c r="V50" i="4"/>
  <c r="W50" i="4"/>
  <c r="V71" i="4"/>
  <c r="W71" i="4"/>
  <c r="V174" i="4"/>
  <c r="W174" i="4"/>
  <c r="W205" i="4"/>
  <c r="W155" i="4"/>
  <c r="W144" i="4"/>
  <c r="V37" i="4"/>
  <c r="V76" i="4"/>
  <c r="V79" i="4"/>
  <c r="V44" i="4"/>
  <c r="V40" i="4"/>
  <c r="V188" i="4"/>
  <c r="V184" i="4"/>
  <c r="V194" i="4"/>
  <c r="W103" i="4"/>
  <c r="V135" i="4"/>
  <c r="W170" i="4"/>
  <c r="V170" i="4"/>
  <c r="W138" i="4"/>
  <c r="V138" i="4"/>
  <c r="O179" i="4"/>
  <c r="O35" i="4"/>
  <c r="O146" i="4"/>
  <c r="O83" i="4"/>
  <c r="O136" i="4"/>
  <c r="O94" i="4"/>
  <c r="O109" i="4"/>
  <c r="O115" i="4"/>
  <c r="O212" i="4"/>
  <c r="O168" i="4"/>
  <c r="O161" i="4"/>
  <c r="O205" i="4"/>
  <c r="O34" i="4"/>
  <c r="O200" i="4"/>
  <c r="O88" i="4"/>
  <c r="AO2" i="4" l="1"/>
  <c r="AQ2" i="4" s="1"/>
  <c r="T2" i="4" s="1"/>
  <c r="O2" i="4" s="1"/>
  <c r="AP2" i="4" l="1"/>
  <c r="S2" i="4" s="1"/>
  <c r="N2" i="4" s="1"/>
  <c r="B143" i="3" l="1"/>
  <c r="B142" i="3"/>
  <c r="C10" i="4"/>
  <c r="B10" i="4" s="1"/>
  <c r="C30" i="4" l="1"/>
  <c r="C29" i="4"/>
  <c r="I6" i="4" l="1"/>
  <c r="I10" i="4"/>
  <c r="I14" i="4"/>
  <c r="I18" i="4"/>
  <c r="I22" i="4"/>
  <c r="I26" i="4"/>
  <c r="I30" i="4"/>
  <c r="I34" i="4"/>
  <c r="I38" i="4"/>
  <c r="I42" i="4"/>
  <c r="I46" i="4"/>
  <c r="I50" i="4"/>
  <c r="I54" i="4"/>
  <c r="I58" i="4"/>
  <c r="I62" i="4"/>
  <c r="I66" i="4"/>
  <c r="I70" i="4"/>
  <c r="I74" i="4"/>
  <c r="I78" i="4"/>
  <c r="I82" i="4"/>
  <c r="I86" i="4"/>
  <c r="I90" i="4"/>
  <c r="I94" i="4"/>
  <c r="I98" i="4"/>
  <c r="I102" i="4"/>
  <c r="I106" i="4"/>
  <c r="I110" i="4"/>
  <c r="I114" i="4"/>
  <c r="I118" i="4"/>
  <c r="I122" i="4"/>
  <c r="I126" i="4"/>
  <c r="I130" i="4"/>
  <c r="I134" i="4"/>
  <c r="I138" i="4"/>
  <c r="I142" i="4"/>
  <c r="I146" i="4"/>
  <c r="I150" i="4"/>
  <c r="I154" i="4"/>
  <c r="I158" i="4"/>
  <c r="I162" i="4"/>
  <c r="I166" i="4"/>
  <c r="I170" i="4"/>
  <c r="I174" i="4"/>
  <c r="I178" i="4"/>
  <c r="I182" i="4"/>
  <c r="I186" i="4"/>
  <c r="I190" i="4"/>
  <c r="I194" i="4"/>
  <c r="I198" i="4"/>
  <c r="I202" i="4"/>
  <c r="I206" i="4"/>
  <c r="I210" i="4"/>
  <c r="I3" i="4"/>
  <c r="I7" i="4"/>
  <c r="I11" i="4"/>
  <c r="I15" i="4"/>
  <c r="I19" i="4"/>
  <c r="I23" i="4"/>
  <c r="I27" i="4"/>
  <c r="I31" i="4"/>
  <c r="I35" i="4"/>
  <c r="I39" i="4"/>
  <c r="I43" i="4"/>
  <c r="I47" i="4"/>
  <c r="I51" i="4"/>
  <c r="I55" i="4"/>
  <c r="I59" i="4"/>
  <c r="I63" i="4"/>
  <c r="I67" i="4"/>
  <c r="I71" i="4"/>
  <c r="I75" i="4"/>
  <c r="I79" i="4"/>
  <c r="I83" i="4"/>
  <c r="I87" i="4"/>
  <c r="I91" i="4"/>
  <c r="I95" i="4"/>
  <c r="I99" i="4"/>
  <c r="I103" i="4"/>
  <c r="I107" i="4"/>
  <c r="I111" i="4"/>
  <c r="I115" i="4"/>
  <c r="I119" i="4"/>
  <c r="I123" i="4"/>
  <c r="I127" i="4"/>
  <c r="I131" i="4"/>
  <c r="I135" i="4"/>
  <c r="I139" i="4"/>
  <c r="I143" i="4"/>
  <c r="I147" i="4"/>
  <c r="I151" i="4"/>
  <c r="I155" i="4"/>
  <c r="I159" i="4"/>
  <c r="I163" i="4"/>
  <c r="I167" i="4"/>
  <c r="I171" i="4"/>
  <c r="I175" i="4"/>
  <c r="I179" i="4"/>
  <c r="I183" i="4"/>
  <c r="I187" i="4"/>
  <c r="I191" i="4"/>
  <c r="I195" i="4"/>
  <c r="I199" i="4"/>
  <c r="I203" i="4"/>
  <c r="I207" i="4"/>
  <c r="I211" i="4"/>
  <c r="I4" i="4"/>
  <c r="I8" i="4"/>
  <c r="I12" i="4"/>
  <c r="I16" i="4"/>
  <c r="I20" i="4"/>
  <c r="I24" i="4"/>
  <c r="I28" i="4"/>
  <c r="I32" i="4"/>
  <c r="I36" i="4"/>
  <c r="I40" i="4"/>
  <c r="I44" i="4"/>
  <c r="I48" i="4"/>
  <c r="I52" i="4"/>
  <c r="I56" i="4"/>
  <c r="I60" i="4"/>
  <c r="I64" i="4"/>
  <c r="I68" i="4"/>
  <c r="I72" i="4"/>
  <c r="I76" i="4"/>
  <c r="I80" i="4"/>
  <c r="I84" i="4"/>
  <c r="I88" i="4"/>
  <c r="I92" i="4"/>
  <c r="I96" i="4"/>
  <c r="I100" i="4"/>
  <c r="I104" i="4"/>
  <c r="I108" i="4"/>
  <c r="I112" i="4"/>
  <c r="I116" i="4"/>
  <c r="I120" i="4"/>
  <c r="I124" i="4"/>
  <c r="I128" i="4"/>
  <c r="I132" i="4"/>
  <c r="I136" i="4"/>
  <c r="I140" i="4"/>
  <c r="I144" i="4"/>
  <c r="I148" i="4"/>
  <c r="I152" i="4"/>
  <c r="I156" i="4"/>
  <c r="I160" i="4"/>
  <c r="I164" i="4"/>
  <c r="I168" i="4"/>
  <c r="I172" i="4"/>
  <c r="I176" i="4"/>
  <c r="I180" i="4"/>
  <c r="I184" i="4"/>
  <c r="I188" i="4"/>
  <c r="I192" i="4"/>
  <c r="I196" i="4"/>
  <c r="I200" i="4"/>
  <c r="I204" i="4"/>
  <c r="I208" i="4"/>
  <c r="I212" i="4"/>
  <c r="I5" i="4"/>
  <c r="I9" i="4"/>
  <c r="I13" i="4"/>
  <c r="I17" i="4"/>
  <c r="I21" i="4"/>
  <c r="I25" i="4"/>
  <c r="I29" i="4"/>
  <c r="I33" i="4"/>
  <c r="I37" i="4"/>
  <c r="I41" i="4"/>
  <c r="I45" i="4"/>
  <c r="I49" i="4"/>
  <c r="I53" i="4"/>
  <c r="I57" i="4"/>
  <c r="I61" i="4"/>
  <c r="I65" i="4"/>
  <c r="I69" i="4"/>
  <c r="I73" i="4"/>
  <c r="I77" i="4"/>
  <c r="I81" i="4"/>
  <c r="I85" i="4"/>
  <c r="I89" i="4"/>
  <c r="I93" i="4"/>
  <c r="I97" i="4"/>
  <c r="I101" i="4"/>
  <c r="I105" i="4"/>
  <c r="I109" i="4"/>
  <c r="I113" i="4"/>
  <c r="I117" i="4"/>
  <c r="I121" i="4"/>
  <c r="I125" i="4"/>
  <c r="I129" i="4"/>
  <c r="I133" i="4"/>
  <c r="I137" i="4"/>
  <c r="I141" i="4"/>
  <c r="I145" i="4"/>
  <c r="I149" i="4"/>
  <c r="I153" i="4"/>
  <c r="I157" i="4"/>
  <c r="I161" i="4"/>
  <c r="I165" i="4"/>
  <c r="I169" i="4"/>
  <c r="I173" i="4"/>
  <c r="I177" i="4"/>
  <c r="I181" i="4"/>
  <c r="I185" i="4"/>
  <c r="I189" i="4"/>
  <c r="I193" i="4"/>
  <c r="I197" i="4"/>
  <c r="I201" i="4"/>
  <c r="I205" i="4"/>
  <c r="I209" i="4"/>
  <c r="I2" i="4"/>
  <c r="AA5" i="4"/>
  <c r="AA74" i="4"/>
  <c r="AA63" i="4"/>
  <c r="AA15" i="4"/>
  <c r="AA124" i="4"/>
  <c r="AA30" i="4"/>
  <c r="AA40" i="4"/>
  <c r="AA96" i="4"/>
  <c r="AA133" i="4"/>
  <c r="AA33" i="4"/>
  <c r="AA103" i="4"/>
  <c r="AA13" i="4"/>
  <c r="AA146" i="4"/>
  <c r="AA188" i="4"/>
  <c r="AA21" i="4"/>
  <c r="AA35" i="4"/>
  <c r="AA14" i="4"/>
  <c r="AA149" i="4"/>
  <c r="AA57" i="4"/>
  <c r="AA208" i="4"/>
  <c r="AA80" i="4"/>
  <c r="AA43" i="4"/>
  <c r="AA3" i="4"/>
  <c r="AA36" i="4"/>
  <c r="AA203" i="4"/>
  <c r="AA113" i="4"/>
  <c r="AA95" i="4"/>
  <c r="AA39" i="4"/>
  <c r="AA24" i="4"/>
  <c r="AA27" i="4"/>
  <c r="AA164" i="4"/>
  <c r="AA210" i="4"/>
  <c r="AA160" i="4"/>
  <c r="AA19" i="4"/>
  <c r="AA154" i="4"/>
  <c r="AA128" i="4"/>
  <c r="AA153" i="4"/>
  <c r="AA169" i="4"/>
  <c r="AA51" i="4"/>
  <c r="AA37" i="4"/>
  <c r="AA173" i="4"/>
  <c r="AA123" i="4"/>
  <c r="AA191" i="4"/>
  <c r="AA143" i="4"/>
  <c r="AA178" i="4"/>
  <c r="AA67" i="4"/>
  <c r="AA59" i="4"/>
  <c r="AA79" i="4"/>
  <c r="AA28" i="4"/>
  <c r="AA171" i="4"/>
  <c r="AA205" i="4"/>
  <c r="AA42" i="4"/>
  <c r="AA158" i="4"/>
  <c r="AA60" i="4"/>
  <c r="AA162" i="4"/>
  <c r="AA130" i="4"/>
  <c r="AA92" i="4"/>
  <c r="AA148" i="4"/>
  <c r="AA179" i="4"/>
  <c r="AA140" i="4"/>
  <c r="AA196" i="4"/>
  <c r="AA120" i="4"/>
  <c r="AA119" i="4"/>
  <c r="AA201" i="4"/>
  <c r="AA112" i="4"/>
  <c r="AA52" i="4"/>
  <c r="AA114" i="4"/>
  <c r="AA156" i="4"/>
  <c r="AA177" i="4"/>
  <c r="AA186" i="4"/>
  <c r="AA126" i="4"/>
  <c r="AA16" i="4"/>
  <c r="AA32" i="4"/>
  <c r="AA84" i="4"/>
  <c r="AA135" i="4"/>
  <c r="AA55" i="4"/>
  <c r="AA8" i="4"/>
  <c r="AA125" i="4"/>
  <c r="AA199" i="4"/>
  <c r="AA50" i="4"/>
  <c r="AA17" i="4"/>
  <c r="AA145" i="4"/>
  <c r="AA165" i="4"/>
  <c r="AA189" i="4"/>
  <c r="AA102" i="4"/>
  <c r="AA202" i="4"/>
  <c r="AA211" i="4"/>
  <c r="AA185" i="4"/>
  <c r="AA2" i="4"/>
  <c r="AA68" i="4"/>
  <c r="AA77" i="4"/>
  <c r="AA121" i="4"/>
  <c r="AA38" i="4"/>
  <c r="AA132" i="4"/>
  <c r="AA70" i="4"/>
  <c r="AA131" i="4"/>
  <c r="AA207" i="4"/>
  <c r="AA100" i="4"/>
  <c r="AA181" i="4"/>
  <c r="AA88" i="4"/>
  <c r="AA78" i="4"/>
  <c r="AA31" i="4"/>
  <c r="AA157" i="4"/>
  <c r="AA62" i="4"/>
  <c r="AA163" i="4"/>
  <c r="AA89" i="4"/>
  <c r="AA175" i="4"/>
  <c r="AA85" i="4"/>
  <c r="AA193" i="4"/>
  <c r="AA58" i="4"/>
  <c r="AA122" i="4"/>
  <c r="AA104" i="4"/>
  <c r="AA56" i="4"/>
  <c r="AA176" i="4"/>
  <c r="AA192" i="4"/>
  <c r="AA101" i="4"/>
  <c r="AA65" i="4"/>
  <c r="AA137" i="4"/>
  <c r="AA116" i="4"/>
  <c r="AA152" i="4"/>
  <c r="AA170" i="4"/>
  <c r="AA93" i="4"/>
  <c r="AA86" i="4"/>
  <c r="AA61" i="4"/>
  <c r="AA20" i="4"/>
  <c r="AA76" i="4"/>
  <c r="AA25" i="4"/>
  <c r="AA49" i="4"/>
  <c r="AA10" i="4"/>
  <c r="AA147" i="4"/>
  <c r="AA106" i="4"/>
  <c r="AA23" i="4"/>
  <c r="AA161" i="4"/>
  <c r="AA183" i="4"/>
  <c r="AA41" i="4"/>
  <c r="AA195" i="4"/>
  <c r="AA64" i="4"/>
  <c r="AA129" i="4"/>
  <c r="AA206" i="4"/>
  <c r="AA184" i="4"/>
  <c r="AA26" i="4"/>
  <c r="AA159" i="4"/>
  <c r="AA53" i="4"/>
  <c r="AA107" i="4"/>
  <c r="AA91" i="4"/>
  <c r="AA54" i="4"/>
  <c r="AA141" i="4"/>
  <c r="AA168" i="4"/>
  <c r="AA71" i="4"/>
  <c r="AA73" i="4"/>
  <c r="AA7" i="4"/>
  <c r="AA99" i="4"/>
  <c r="AA90" i="4"/>
  <c r="AA166" i="4"/>
  <c r="AA109" i="4"/>
  <c r="AA117" i="4"/>
  <c r="AA94" i="4"/>
  <c r="AA69" i="4"/>
  <c r="AA47" i="4"/>
  <c r="AA81" i="4"/>
  <c r="AA12" i="4"/>
  <c r="AA172" i="4"/>
  <c r="AA204" i="4"/>
  <c r="AA194" i="4"/>
  <c r="AA48" i="4"/>
  <c r="AA9" i="4"/>
  <c r="AA108" i="4"/>
  <c r="AA144" i="4"/>
  <c r="AA190" i="4"/>
  <c r="AA34" i="4"/>
  <c r="AA29" i="4"/>
  <c r="AA111" i="4"/>
  <c r="AA212" i="4"/>
  <c r="AA110" i="4"/>
  <c r="AA151" i="4"/>
  <c r="AA6" i="4"/>
  <c r="AA82" i="4"/>
  <c r="AA136" i="4"/>
  <c r="AA198" i="4"/>
  <c r="AA4" i="4"/>
  <c r="AA139" i="4"/>
  <c r="AA134" i="4"/>
  <c r="AA150" i="4"/>
  <c r="AA180" i="4"/>
  <c r="AA97" i="4"/>
  <c r="AA138" i="4"/>
  <c r="AA127" i="4"/>
  <c r="AA45" i="4"/>
  <c r="AA167" i="4"/>
  <c r="AA83" i="4"/>
  <c r="AA187" i="4"/>
  <c r="AA11" i="4"/>
  <c r="AA22" i="4"/>
  <c r="AA200" i="4"/>
  <c r="AA98" i="4"/>
  <c r="AA75" i="4"/>
  <c r="AA174" i="4"/>
  <c r="AA197" i="4"/>
  <c r="AA118" i="4"/>
  <c r="AA105" i="4"/>
  <c r="AA44" i="4"/>
  <c r="AA209" i="4"/>
  <c r="AA46" i="4"/>
  <c r="AA87" i="4"/>
  <c r="AA182" i="4"/>
  <c r="AA115" i="4"/>
  <c r="AA142" i="4"/>
  <c r="AA66" i="4"/>
  <c r="AA155" i="4"/>
  <c r="AA18" i="4"/>
  <c r="AA72" i="4"/>
  <c r="B128" i="3" l="1"/>
  <c r="B129" i="3" s="1"/>
  <c r="B131" i="3" l="1"/>
  <c r="C131" i="3" l="1"/>
  <c r="B132" i="3" s="1"/>
  <c r="B133" i="3" l="1"/>
  <c r="C133" i="3" s="1"/>
  <c r="B136" i="3"/>
  <c r="C136" i="3" s="1"/>
  <c r="B138" i="3"/>
  <c r="C138" i="3" s="1"/>
  <c r="C7" i="4"/>
  <c r="B7" i="4" s="1"/>
  <c r="B134" i="3"/>
  <c r="C134" i="3" s="1"/>
  <c r="B137" i="3"/>
  <c r="C137" i="3" s="1"/>
  <c r="B139" i="3" l="1"/>
  <c r="C9" i="4" s="1"/>
  <c r="B9" i="4" s="1"/>
  <c r="C28" i="4" s="1"/>
  <c r="B135" i="3"/>
  <c r="C8" i="4" l="1"/>
  <c r="B8" i="4" s="1"/>
  <c r="X4" i="4" s="1"/>
  <c r="X193" i="4" l="1"/>
  <c r="AE193" i="4" s="1"/>
  <c r="X50" i="4"/>
  <c r="AE50" i="4" s="1"/>
  <c r="X44" i="4"/>
  <c r="AB44" i="4" s="1"/>
  <c r="AC44" i="4" s="1"/>
  <c r="P44" i="4" s="1"/>
  <c r="J44" i="4" s="1"/>
  <c r="X131" i="4"/>
  <c r="AE131" i="4" s="1"/>
  <c r="AF131" i="4" s="1"/>
  <c r="X9" i="4"/>
  <c r="AB9" i="4" s="1"/>
  <c r="X127" i="4"/>
  <c r="AB127" i="4" s="1"/>
  <c r="X167" i="4"/>
  <c r="AB167" i="4" s="1"/>
  <c r="X105" i="4"/>
  <c r="AB105" i="4" s="1"/>
  <c r="AC105" i="4" s="1"/>
  <c r="P105" i="4" s="1"/>
  <c r="J105" i="4" s="1"/>
  <c r="X23" i="4"/>
  <c r="AE23" i="4" s="1"/>
  <c r="X7" i="4"/>
  <c r="AB7" i="4" s="1"/>
  <c r="X24" i="4"/>
  <c r="AB24" i="4" s="1"/>
  <c r="AD24" i="4" s="1"/>
  <c r="Q24" i="4" s="1"/>
  <c r="K24" i="4" s="1"/>
  <c r="X5" i="4"/>
  <c r="AB5" i="4" s="1"/>
  <c r="AC5" i="4" s="1"/>
  <c r="P5" i="4" s="1"/>
  <c r="J5" i="4" s="1"/>
  <c r="X132" i="4"/>
  <c r="AB132" i="4" s="1"/>
  <c r="X191" i="4"/>
  <c r="AB191" i="4" s="1"/>
  <c r="X96" i="4"/>
  <c r="AB96" i="4" s="1"/>
  <c r="X68" i="4"/>
  <c r="AE68" i="4" s="1"/>
  <c r="AF68" i="4" s="1"/>
  <c r="X210" i="4"/>
  <c r="AB210" i="4" s="1"/>
  <c r="X134" i="4"/>
  <c r="AB134" i="4" s="1"/>
  <c r="X27" i="4"/>
  <c r="Y27" i="4" s="1"/>
  <c r="X171" i="4"/>
  <c r="AB171" i="4" s="1"/>
  <c r="AD171" i="4" s="1"/>
  <c r="Q171" i="4" s="1"/>
  <c r="K171" i="4" s="1"/>
  <c r="X153" i="4"/>
  <c r="AB153" i="4" s="1"/>
  <c r="X183" i="4"/>
  <c r="AB183" i="4" s="1"/>
  <c r="X82" i="4"/>
  <c r="AE82" i="4" s="1"/>
  <c r="AF82" i="4" s="1"/>
  <c r="X199" i="4"/>
  <c r="AE199" i="4" s="1"/>
  <c r="AG199" i="4" s="1"/>
  <c r="X94" i="4"/>
  <c r="AE94" i="4" s="1"/>
  <c r="X190" i="4"/>
  <c r="AB190" i="4" s="1"/>
  <c r="X192" i="4"/>
  <c r="Z192" i="4" s="1"/>
  <c r="X151" i="4"/>
  <c r="AB151" i="4" s="1"/>
  <c r="AC151" i="4" s="1"/>
  <c r="P151" i="4" s="1"/>
  <c r="J151" i="4" s="1"/>
  <c r="X109" i="4"/>
  <c r="AE109" i="4" s="1"/>
  <c r="X73" i="4"/>
  <c r="AE73" i="4" s="1"/>
  <c r="X186" i="4"/>
  <c r="AE186" i="4" s="1"/>
  <c r="AF186" i="4" s="1"/>
  <c r="X45" i="4"/>
  <c r="AE45" i="4" s="1"/>
  <c r="AF45" i="4" s="1"/>
  <c r="X51" i="4"/>
  <c r="AB51" i="4" s="1"/>
  <c r="X71" i="4"/>
  <c r="AE71" i="4" s="1"/>
  <c r="X91" i="4"/>
  <c r="AB91" i="4" s="1"/>
  <c r="X148" i="4"/>
  <c r="AE148" i="4" s="1"/>
  <c r="AF148" i="4" s="1"/>
  <c r="X188" i="4"/>
  <c r="AB188" i="4" s="1"/>
  <c r="X173" i="4"/>
  <c r="AB173" i="4" s="1"/>
  <c r="X31" i="4"/>
  <c r="AB31" i="4" s="1"/>
  <c r="AC31" i="4" s="1"/>
  <c r="P31" i="4" s="1"/>
  <c r="J31" i="4" s="1"/>
  <c r="X211" i="4"/>
  <c r="AB211" i="4" s="1"/>
  <c r="AD211" i="4" s="1"/>
  <c r="Q211" i="4" s="1"/>
  <c r="K211" i="4" s="1"/>
  <c r="X155" i="4"/>
  <c r="AB155" i="4" s="1"/>
  <c r="X89" i="4"/>
  <c r="AB89" i="4" s="1"/>
  <c r="AE167" i="4"/>
  <c r="AG167" i="4" s="1"/>
  <c r="X11" i="4"/>
  <c r="AE11" i="4" s="1"/>
  <c r="AF11" i="4" s="1"/>
  <c r="X54" i="4"/>
  <c r="AE54" i="4" s="1"/>
  <c r="X158" i="4"/>
  <c r="AB158" i="4" s="1"/>
  <c r="AD158" i="4" s="1"/>
  <c r="Q158" i="4" s="1"/>
  <c r="K158" i="4" s="1"/>
  <c r="X25" i="4"/>
  <c r="AE25" i="4" s="1"/>
  <c r="AG25" i="4" s="1"/>
  <c r="X84" i="4"/>
  <c r="AB84" i="4" s="1"/>
  <c r="AC84" i="4" s="1"/>
  <c r="P84" i="4" s="1"/>
  <c r="J84" i="4" s="1"/>
  <c r="X165" i="4"/>
  <c r="AE165" i="4" s="1"/>
  <c r="X39" i="4"/>
  <c r="AB39" i="4" s="1"/>
  <c r="AD39" i="4" s="1"/>
  <c r="Q39" i="4" s="1"/>
  <c r="K39" i="4" s="1"/>
  <c r="X164" i="4"/>
  <c r="AB164" i="4" s="1"/>
  <c r="AD164" i="4" s="1"/>
  <c r="Q164" i="4" s="1"/>
  <c r="K164" i="4" s="1"/>
  <c r="X139" i="4"/>
  <c r="AB139" i="4" s="1"/>
  <c r="AC139" i="4" s="1"/>
  <c r="P139" i="4" s="1"/>
  <c r="J139" i="4" s="1"/>
  <c r="X30" i="4"/>
  <c r="Y30" i="4" s="1"/>
  <c r="X95" i="4"/>
  <c r="AE95" i="4" s="1"/>
  <c r="AF95" i="4" s="1"/>
  <c r="X181" i="4"/>
  <c r="AB181" i="4" s="1"/>
  <c r="AD181" i="4" s="1"/>
  <c r="Q181" i="4" s="1"/>
  <c r="K181" i="4" s="1"/>
  <c r="X64" i="4"/>
  <c r="AB64" i="4" s="1"/>
  <c r="AC64" i="4" s="1"/>
  <c r="P64" i="4" s="1"/>
  <c r="J64" i="4" s="1"/>
  <c r="X185" i="4"/>
  <c r="Y185" i="4" s="1"/>
  <c r="X112" i="4"/>
  <c r="Z112" i="4" s="1"/>
  <c r="X114" i="4"/>
  <c r="AE114" i="4" s="1"/>
  <c r="AF114" i="4" s="1"/>
  <c r="X137" i="4"/>
  <c r="AB137" i="4" s="1"/>
  <c r="AC137" i="4" s="1"/>
  <c r="P137" i="4" s="1"/>
  <c r="J137" i="4" s="1"/>
  <c r="X12" i="4"/>
  <c r="AE12" i="4" s="1"/>
  <c r="X182" i="4"/>
  <c r="AB182" i="4" s="1"/>
  <c r="AC182" i="4" s="1"/>
  <c r="P182" i="4" s="1"/>
  <c r="J182" i="4" s="1"/>
  <c r="X196" i="4"/>
  <c r="AE196" i="4" s="1"/>
  <c r="AG196" i="4" s="1"/>
  <c r="X147" i="4"/>
  <c r="Z147" i="4" s="1"/>
  <c r="X20" i="4"/>
  <c r="AE20" i="4" s="1"/>
  <c r="X85" i="4"/>
  <c r="Y85" i="4" s="1"/>
  <c r="X100" i="4"/>
  <c r="Z100" i="4" s="1"/>
  <c r="X166" i="4"/>
  <c r="AB166" i="4" s="1"/>
  <c r="AD166" i="4" s="1"/>
  <c r="Q166" i="4" s="1"/>
  <c r="K166" i="4" s="1"/>
  <c r="X160" i="4"/>
  <c r="AB160" i="4" s="1"/>
  <c r="X110" i="4"/>
  <c r="Z110" i="4" s="1"/>
  <c r="X59" i="4"/>
  <c r="Z59" i="4" s="1"/>
  <c r="X65" i="4"/>
  <c r="Z65" i="4" s="1"/>
  <c r="X42" i="4"/>
  <c r="AB42" i="4" s="1"/>
  <c r="X97" i="4"/>
  <c r="Z97" i="4" s="1"/>
  <c r="X32" i="4"/>
  <c r="Z32" i="4" s="1"/>
  <c r="X136" i="4"/>
  <c r="AB136" i="4" s="1"/>
  <c r="AC136" i="4" s="1"/>
  <c r="P136" i="4" s="1"/>
  <c r="J136" i="4" s="1"/>
  <c r="X60" i="4"/>
  <c r="Y60" i="4" s="1"/>
  <c r="X47" i="4"/>
  <c r="AE47" i="4" s="1"/>
  <c r="AG47" i="4" s="1"/>
  <c r="X40" i="4"/>
  <c r="AE40" i="4" s="1"/>
  <c r="AG40" i="4" s="1"/>
  <c r="X208" i="4"/>
  <c r="AB208" i="4" s="1"/>
  <c r="AD208" i="4" s="1"/>
  <c r="Q208" i="4" s="1"/>
  <c r="K208" i="4" s="1"/>
  <c r="X58" i="4"/>
  <c r="AE58" i="4" s="1"/>
  <c r="X117" i="4"/>
  <c r="Y117" i="4" s="1"/>
  <c r="X156" i="4"/>
  <c r="AB156" i="4" s="1"/>
  <c r="AC156" i="4" s="1"/>
  <c r="P156" i="4" s="1"/>
  <c r="J156" i="4" s="1"/>
  <c r="X197" i="4"/>
  <c r="Y197" i="4" s="1"/>
  <c r="X69" i="4"/>
  <c r="AB69" i="4" s="1"/>
  <c r="X133" i="4"/>
  <c r="AE133" i="4" s="1"/>
  <c r="AG133" i="4" s="1"/>
  <c r="X81" i="4"/>
  <c r="Z81" i="4" s="1"/>
  <c r="X194" i="4"/>
  <c r="Z194" i="4" s="1"/>
  <c r="X200" i="4"/>
  <c r="Z200" i="4" s="1"/>
  <c r="X6" i="4"/>
  <c r="AE6" i="4" s="1"/>
  <c r="AG6" i="4" s="1"/>
  <c r="X98" i="4"/>
  <c r="AE98" i="4" s="1"/>
  <c r="AG98" i="4" s="1"/>
  <c r="X86" i="4"/>
  <c r="Y86" i="4" s="1"/>
  <c r="X202" i="4"/>
  <c r="Z202" i="4" s="1"/>
  <c r="X36" i="4"/>
  <c r="AE36" i="4" s="1"/>
  <c r="AG36" i="4" s="1"/>
  <c r="X99" i="4"/>
  <c r="Z99" i="4" s="1"/>
  <c r="X17" i="4"/>
  <c r="Z17" i="4" s="1"/>
  <c r="X176" i="4"/>
  <c r="Y176" i="4" s="1"/>
  <c r="X125" i="4"/>
  <c r="Z125" i="4" s="1"/>
  <c r="X116" i="4"/>
  <c r="Z116" i="4" s="1"/>
  <c r="X121" i="4"/>
  <c r="AB121" i="4" s="1"/>
  <c r="AD121" i="4" s="1"/>
  <c r="Q121" i="4" s="1"/>
  <c r="K121" i="4" s="1"/>
  <c r="X115" i="4"/>
  <c r="Y115" i="4" s="1"/>
  <c r="C27" i="4"/>
  <c r="X187" i="4"/>
  <c r="AB187" i="4" s="1"/>
  <c r="AC187" i="4" s="1"/>
  <c r="P187" i="4" s="1"/>
  <c r="J187" i="4" s="1"/>
  <c r="X157" i="4"/>
  <c r="Z157" i="4" s="1"/>
  <c r="X70" i="4"/>
  <c r="Y70" i="4" s="1"/>
  <c r="X143" i="4"/>
  <c r="Y143" i="4" s="1"/>
  <c r="X140" i="4"/>
  <c r="Z140" i="4" s="1"/>
  <c r="X161" i="4"/>
  <c r="Y161" i="4" s="1"/>
  <c r="X14" i="4"/>
  <c r="Z14" i="4" s="1"/>
  <c r="X142" i="4"/>
  <c r="Z142" i="4" s="1"/>
  <c r="X56" i="4"/>
  <c r="Z56" i="4" s="1"/>
  <c r="X138" i="4"/>
  <c r="Y138" i="4" s="1"/>
  <c r="X203" i="4"/>
  <c r="Z203" i="4" s="1"/>
  <c r="X62" i="4"/>
  <c r="AB62" i="4" s="1"/>
  <c r="AC62" i="4" s="1"/>
  <c r="P62" i="4" s="1"/>
  <c r="J62" i="4" s="1"/>
  <c r="X120" i="4"/>
  <c r="Y120" i="4" s="1"/>
  <c r="AB4" i="4"/>
  <c r="AC4" i="4" s="1"/>
  <c r="P4" i="4" s="1"/>
  <c r="J4" i="4" s="1"/>
  <c r="AE4" i="4"/>
  <c r="AF4" i="4" s="1"/>
  <c r="X2" i="4"/>
  <c r="AE2" i="4" s="1"/>
  <c r="AG2" i="4" s="1"/>
  <c r="X53" i="4"/>
  <c r="AB53" i="4" s="1"/>
  <c r="AC53" i="4" s="1"/>
  <c r="P53" i="4" s="1"/>
  <c r="J53" i="4" s="1"/>
  <c r="X102" i="4"/>
  <c r="Z102" i="4" s="1"/>
  <c r="X87" i="4"/>
  <c r="Y87" i="4" s="1"/>
  <c r="X212" i="4"/>
  <c r="Y212" i="4" s="1"/>
  <c r="X34" i="4"/>
  <c r="Z34" i="4" s="1"/>
  <c r="X135" i="4"/>
  <c r="Z135" i="4" s="1"/>
  <c r="X118" i="4"/>
  <c r="Y118" i="4" s="1"/>
  <c r="X48" i="4"/>
  <c r="Z48" i="4" s="1"/>
  <c r="X119" i="4"/>
  <c r="Y119" i="4" s="1"/>
  <c r="X28" i="4"/>
  <c r="Y28" i="4" s="1"/>
  <c r="X80" i="4"/>
  <c r="Y80" i="4" s="1"/>
  <c r="AE127" i="4"/>
  <c r="AG127" i="4" s="1"/>
  <c r="AB73" i="4"/>
  <c r="AC73" i="4" s="1"/>
  <c r="P73" i="4" s="1"/>
  <c r="J73" i="4" s="1"/>
  <c r="AE44" i="4"/>
  <c r="AG44" i="4" s="1"/>
  <c r="AE24" i="4"/>
  <c r="AF24" i="4" s="1"/>
  <c r="AE132" i="4"/>
  <c r="AG132" i="4" s="1"/>
  <c r="AB54" i="4"/>
  <c r="AC54" i="4" s="1"/>
  <c r="P54" i="4" s="1"/>
  <c r="J54" i="4" s="1"/>
  <c r="AB165" i="4"/>
  <c r="AD165" i="4" s="1"/>
  <c r="Q165" i="4" s="1"/>
  <c r="K165" i="4" s="1"/>
  <c r="AB71" i="4"/>
  <c r="AD71" i="4" s="1"/>
  <c r="Q71" i="4" s="1"/>
  <c r="K71" i="4" s="1"/>
  <c r="AE134" i="4"/>
  <c r="AG134" i="4" s="1"/>
  <c r="AE89" i="4"/>
  <c r="AG89" i="4" s="1"/>
  <c r="AE210" i="4"/>
  <c r="AG210" i="4" s="1"/>
  <c r="AB193" i="4"/>
  <c r="AC193" i="4" s="1"/>
  <c r="P193" i="4" s="1"/>
  <c r="J193" i="4" s="1"/>
  <c r="AE183" i="4"/>
  <c r="AG183" i="4" s="1"/>
  <c r="AB94" i="4"/>
  <c r="AC94" i="4" s="1"/>
  <c r="P94" i="4" s="1"/>
  <c r="J94" i="4" s="1"/>
  <c r="AB82" i="4"/>
  <c r="AC82" i="4" s="1"/>
  <c r="P82" i="4" s="1"/>
  <c r="J82" i="4" s="1"/>
  <c r="AB95" i="4"/>
  <c r="AC95" i="4" s="1"/>
  <c r="P95" i="4" s="1"/>
  <c r="J95" i="4" s="1"/>
  <c r="AE7" i="4"/>
  <c r="AF7" i="4" s="1"/>
  <c r="AE96" i="4"/>
  <c r="AF96" i="4" s="1"/>
  <c r="AB50" i="4"/>
  <c r="AD50" i="4" s="1"/>
  <c r="Q50" i="4" s="1"/>
  <c r="K50" i="4" s="1"/>
  <c r="AE188" i="4"/>
  <c r="AG188" i="4" s="1"/>
  <c r="AE191" i="4"/>
  <c r="AF191" i="4" s="1"/>
  <c r="AE51" i="4"/>
  <c r="AG51" i="4" s="1"/>
  <c r="Y183" i="4"/>
  <c r="Z183" i="4"/>
  <c r="Y82" i="4"/>
  <c r="Z82" i="4"/>
  <c r="Y94" i="4"/>
  <c r="Z94" i="4"/>
  <c r="AE27" i="4"/>
  <c r="AG27" i="4" s="1"/>
  <c r="Z27" i="4"/>
  <c r="AB23" i="4"/>
  <c r="AC23" i="4" s="1"/>
  <c r="P23" i="4" s="1"/>
  <c r="J23" i="4" s="1"/>
  <c r="Z23" i="4"/>
  <c r="Y188" i="4"/>
  <c r="Z188" i="4"/>
  <c r="Y191" i="4"/>
  <c r="Z191" i="4"/>
  <c r="Z51" i="4"/>
  <c r="Y51" i="4"/>
  <c r="Y155" i="4"/>
  <c r="Z155" i="4"/>
  <c r="Y112" i="4"/>
  <c r="Y127" i="4"/>
  <c r="Z127" i="4"/>
  <c r="Y44" i="4"/>
  <c r="Z44" i="4"/>
  <c r="Y167" i="4"/>
  <c r="Z167" i="4"/>
  <c r="Z190" i="4"/>
  <c r="Y190" i="4"/>
  <c r="Y9" i="4"/>
  <c r="Z9" i="4"/>
  <c r="Y192" i="4"/>
  <c r="Y173" i="4"/>
  <c r="Z173" i="4"/>
  <c r="Y73" i="4"/>
  <c r="Z73" i="4"/>
  <c r="AE153" i="4"/>
  <c r="AG153" i="4" s="1"/>
  <c r="Z153" i="4"/>
  <c r="AB186" i="4"/>
  <c r="AC186" i="4" s="1"/>
  <c r="P186" i="4" s="1"/>
  <c r="J186" i="4" s="1"/>
  <c r="AB20" i="4"/>
  <c r="AD20" i="4" s="1"/>
  <c r="Q20" i="4" s="1"/>
  <c r="K20" i="4" s="1"/>
  <c r="Y24" i="4"/>
  <c r="Z24" i="4"/>
  <c r="Z193" i="4"/>
  <c r="Y193" i="4"/>
  <c r="Z50" i="4"/>
  <c r="Y50" i="4"/>
  <c r="Z132" i="4"/>
  <c r="Y132" i="4"/>
  <c r="Z109" i="4"/>
  <c r="Y109" i="4"/>
  <c r="Z7" i="4"/>
  <c r="Y7" i="4"/>
  <c r="Y31" i="4"/>
  <c r="Y91" i="4"/>
  <c r="Z95" i="4"/>
  <c r="Y210" i="4"/>
  <c r="Y134" i="4"/>
  <c r="Z134" i="4"/>
  <c r="Z54" i="4"/>
  <c r="Z158" i="4"/>
  <c r="Y25" i="4"/>
  <c r="Z165" i="4"/>
  <c r="Y165" i="4"/>
  <c r="Z39" i="4"/>
  <c r="Y71" i="4"/>
  <c r="Z71" i="4"/>
  <c r="Z89" i="4"/>
  <c r="Y89" i="4"/>
  <c r="Z30" i="4"/>
  <c r="Z4" i="4"/>
  <c r="Y4" i="4"/>
  <c r="AB27" i="4"/>
  <c r="AC27" i="4" s="1"/>
  <c r="P27" i="4" s="1"/>
  <c r="J27" i="4" s="1"/>
  <c r="X152" i="4"/>
  <c r="X144" i="4"/>
  <c r="X201" i="4"/>
  <c r="X107" i="4"/>
  <c r="X175" i="4"/>
  <c r="X10" i="4"/>
  <c r="X172" i="4"/>
  <c r="X67" i="4"/>
  <c r="X195" i="4"/>
  <c r="X150" i="4"/>
  <c r="X37" i="4"/>
  <c r="X41" i="4"/>
  <c r="X189" i="4"/>
  <c r="X57" i="4"/>
  <c r="X206" i="4"/>
  <c r="X170" i="4"/>
  <c r="X75" i="4"/>
  <c r="X177" i="4"/>
  <c r="X16" i="4"/>
  <c r="X29" i="4"/>
  <c r="X90" i="4"/>
  <c r="X198" i="4"/>
  <c r="X13" i="4"/>
  <c r="X76" i="4"/>
  <c r="X113" i="4"/>
  <c r="X38" i="4"/>
  <c r="X184" i="4"/>
  <c r="X111" i="4"/>
  <c r="X61" i="4"/>
  <c r="X146" i="4"/>
  <c r="X205" i="4"/>
  <c r="X207" i="4"/>
  <c r="X15" i="4"/>
  <c r="X162" i="4"/>
  <c r="X124" i="4"/>
  <c r="X204" i="4"/>
  <c r="X101" i="4"/>
  <c r="X66" i="4"/>
  <c r="X46" i="4"/>
  <c r="X128" i="4"/>
  <c r="X83" i="4"/>
  <c r="X79" i="4"/>
  <c r="X179" i="4"/>
  <c r="X174" i="4"/>
  <c r="X178" i="4"/>
  <c r="X123" i="4"/>
  <c r="X49" i="4"/>
  <c r="X149" i="4"/>
  <c r="X92" i="4"/>
  <c r="X130" i="4"/>
  <c r="X33" i="4"/>
  <c r="X55" i="4"/>
  <c r="X154" i="4"/>
  <c r="X129" i="4"/>
  <c r="X78" i="4"/>
  <c r="X122" i="4"/>
  <c r="X26" i="4"/>
  <c r="X8" i="4"/>
  <c r="X108" i="4"/>
  <c r="X93" i="4"/>
  <c r="X169" i="4"/>
  <c r="X18" i="4"/>
  <c r="X163" i="4"/>
  <c r="X72" i="4"/>
  <c r="X145" i="4"/>
  <c r="X104" i="4"/>
  <c r="X22" i="4"/>
  <c r="X180" i="4"/>
  <c r="X88" i="4"/>
  <c r="X106" i="4"/>
  <c r="X21" i="4"/>
  <c r="X168" i="4"/>
  <c r="X103" i="4"/>
  <c r="X63" i="4"/>
  <c r="X126" i="4"/>
  <c r="X141" i="4"/>
  <c r="X35" i="4"/>
  <c r="X43" i="4"/>
  <c r="X77" i="4"/>
  <c r="X159" i="4"/>
  <c r="X19" i="4"/>
  <c r="X74" i="4"/>
  <c r="X52" i="4"/>
  <c r="X209" i="4"/>
  <c r="X3" i="4"/>
  <c r="AC24" i="4"/>
  <c r="P24" i="4" s="1"/>
  <c r="J24" i="4" s="1"/>
  <c r="AC167" i="4"/>
  <c r="P167" i="4" s="1"/>
  <c r="J167" i="4" s="1"/>
  <c r="AD167" i="4"/>
  <c r="Q167" i="4" s="1"/>
  <c r="K167" i="4" s="1"/>
  <c r="AF23" i="4"/>
  <c r="AG23" i="4"/>
  <c r="AC153" i="4"/>
  <c r="P153" i="4" s="1"/>
  <c r="J153" i="4" s="1"/>
  <c r="AD153" i="4"/>
  <c r="Q153" i="4" s="1"/>
  <c r="K153" i="4" s="1"/>
  <c r="AC155" i="4"/>
  <c r="P155" i="4" s="1"/>
  <c r="J155" i="4" s="1"/>
  <c r="AD155" i="4"/>
  <c r="Q155" i="4" s="1"/>
  <c r="K155" i="4" s="1"/>
  <c r="AD127" i="4"/>
  <c r="Q127" i="4" s="1"/>
  <c r="K127" i="4" s="1"/>
  <c r="AC127" i="4"/>
  <c r="P127" i="4" s="1"/>
  <c r="J127" i="4" s="1"/>
  <c r="AD210" i="4"/>
  <c r="Q210" i="4" s="1"/>
  <c r="K210" i="4" s="1"/>
  <c r="AC210" i="4"/>
  <c r="P210" i="4" s="1"/>
  <c r="J210" i="4" s="1"/>
  <c r="AD44" i="4"/>
  <c r="Q44" i="4" s="1"/>
  <c r="K44" i="4" s="1"/>
  <c r="AC134" i="4"/>
  <c r="P134" i="4" s="1"/>
  <c r="J134" i="4" s="1"/>
  <c r="AD134" i="4"/>
  <c r="Q134" i="4" s="1"/>
  <c r="K134" i="4" s="1"/>
  <c r="AF167" i="4"/>
  <c r="AC160" i="4"/>
  <c r="P160" i="4" s="1"/>
  <c r="J160" i="4" s="1"/>
  <c r="AD160" i="4"/>
  <c r="Q160" i="4" s="1"/>
  <c r="K160" i="4" s="1"/>
  <c r="AC188" i="4"/>
  <c r="P188" i="4" s="1"/>
  <c r="J188" i="4" s="1"/>
  <c r="AD188" i="4"/>
  <c r="Q188" i="4" s="1"/>
  <c r="K188" i="4" s="1"/>
  <c r="AF109" i="4"/>
  <c r="AG109" i="4"/>
  <c r="AC7" i="4"/>
  <c r="P7" i="4" s="1"/>
  <c r="J7" i="4" s="1"/>
  <c r="AD7" i="4"/>
  <c r="Q7" i="4" s="1"/>
  <c r="K7" i="4" s="1"/>
  <c r="AC191" i="4"/>
  <c r="P191" i="4" s="1"/>
  <c r="J191" i="4" s="1"/>
  <c r="AD191" i="4"/>
  <c r="Q191" i="4" s="1"/>
  <c r="K191" i="4" s="1"/>
  <c r="AD31" i="4"/>
  <c r="Q31" i="4" s="1"/>
  <c r="K31" i="4" s="1"/>
  <c r="AC42" i="4"/>
  <c r="P42" i="4" s="1"/>
  <c r="J42" i="4" s="1"/>
  <c r="AD42" i="4"/>
  <c r="Q42" i="4" s="1"/>
  <c r="K42" i="4" s="1"/>
  <c r="AF165" i="4"/>
  <c r="AG165" i="4"/>
  <c r="AC51" i="4"/>
  <c r="P51" i="4" s="1"/>
  <c r="J51" i="4" s="1"/>
  <c r="AD51" i="4"/>
  <c r="Q51" i="4" s="1"/>
  <c r="K51" i="4" s="1"/>
  <c r="AC39" i="4"/>
  <c r="P39" i="4" s="1"/>
  <c r="J39" i="4" s="1"/>
  <c r="AG71" i="4"/>
  <c r="AF71" i="4"/>
  <c r="AC91" i="4"/>
  <c r="P91" i="4" s="1"/>
  <c r="J91" i="4" s="1"/>
  <c r="AD91" i="4"/>
  <c r="Q91" i="4" s="1"/>
  <c r="K91" i="4" s="1"/>
  <c r="AG12" i="4"/>
  <c r="AF12" i="4"/>
  <c r="AC96" i="4"/>
  <c r="P96" i="4" s="1"/>
  <c r="J96" i="4" s="1"/>
  <c r="AD96" i="4"/>
  <c r="Q96" i="4" s="1"/>
  <c r="K96" i="4" s="1"/>
  <c r="AC183" i="4"/>
  <c r="P183" i="4" s="1"/>
  <c r="J183" i="4" s="1"/>
  <c r="AD183" i="4"/>
  <c r="Q183" i="4" s="1"/>
  <c r="K183" i="4" s="1"/>
  <c r="AG193" i="4"/>
  <c r="AF193" i="4"/>
  <c r="AF50" i="4"/>
  <c r="AG50" i="4"/>
  <c r="AF94" i="4"/>
  <c r="AG94" i="4"/>
  <c r="AF58" i="4"/>
  <c r="AG58" i="4"/>
  <c r="AF36" i="4"/>
  <c r="AD190" i="4"/>
  <c r="Q190" i="4" s="1"/>
  <c r="K190" i="4" s="1"/>
  <c r="AC190" i="4"/>
  <c r="P190" i="4" s="1"/>
  <c r="J190" i="4" s="1"/>
  <c r="AC173" i="4"/>
  <c r="P173" i="4" s="1"/>
  <c r="J173" i="4" s="1"/>
  <c r="AD173" i="4"/>
  <c r="Q173" i="4" s="1"/>
  <c r="K173" i="4" s="1"/>
  <c r="AG20" i="4"/>
  <c r="AF20" i="4"/>
  <c r="AC132" i="4"/>
  <c r="P132" i="4" s="1"/>
  <c r="J132" i="4" s="1"/>
  <c r="AD132" i="4"/>
  <c r="Q132" i="4" s="1"/>
  <c r="K132" i="4" s="1"/>
  <c r="AG54" i="4"/>
  <c r="AF54" i="4"/>
  <c r="AD9" i="4"/>
  <c r="Q9" i="4" s="1"/>
  <c r="K9" i="4" s="1"/>
  <c r="AC9" i="4"/>
  <c r="P9" i="4" s="1"/>
  <c r="J9" i="4" s="1"/>
  <c r="AF25" i="4"/>
  <c r="AG73" i="4"/>
  <c r="AF73" i="4"/>
  <c r="AC69" i="4"/>
  <c r="P69" i="4" s="1"/>
  <c r="J69" i="4" s="1"/>
  <c r="AD69" i="4"/>
  <c r="Q69" i="4" s="1"/>
  <c r="K69" i="4" s="1"/>
  <c r="AC89" i="4"/>
  <c r="P89" i="4" s="1"/>
  <c r="J89" i="4" s="1"/>
  <c r="AD89" i="4"/>
  <c r="Q89" i="4" s="1"/>
  <c r="K89" i="4" s="1"/>
  <c r="AG82" i="4" l="1"/>
  <c r="AC164" i="4"/>
  <c r="P164" i="4" s="1"/>
  <c r="J164" i="4" s="1"/>
  <c r="Z96" i="4"/>
  <c r="Z91" i="4"/>
  <c r="Y186" i="4"/>
  <c r="Z164" i="4"/>
  <c r="AG186" i="4"/>
  <c r="Z25" i="4"/>
  <c r="Y96" i="4"/>
  <c r="Z31" i="4"/>
  <c r="Z186" i="4"/>
  <c r="AE91" i="4"/>
  <c r="AG91" i="4" s="1"/>
  <c r="AB25" i="4"/>
  <c r="AC25" i="4" s="1"/>
  <c r="P25" i="4" s="1"/>
  <c r="J25" i="4" s="1"/>
  <c r="AE31" i="4"/>
  <c r="AG31" i="4" s="1"/>
  <c r="Z20" i="4"/>
  <c r="AF2" i="4"/>
  <c r="AG4" i="4"/>
  <c r="AD182" i="4"/>
  <c r="Q182" i="4" s="1"/>
  <c r="K182" i="4" s="1"/>
  <c r="AC158" i="4"/>
  <c r="P158" i="4" s="1"/>
  <c r="J158" i="4" s="1"/>
  <c r="AB98" i="4"/>
  <c r="AD98" i="4" s="1"/>
  <c r="Q98" i="4" s="1"/>
  <c r="K98" i="4" s="1"/>
  <c r="AE160" i="4"/>
  <c r="AG160" i="4" s="1"/>
  <c r="Y54" i="4"/>
  <c r="Z210" i="4"/>
  <c r="Z176" i="4"/>
  <c r="Y153" i="4"/>
  <c r="Z12" i="4"/>
  <c r="Y23" i="4"/>
  <c r="AE166" i="4"/>
  <c r="AF166" i="4" s="1"/>
  <c r="AE155" i="4"/>
  <c r="AF155" i="4" s="1"/>
  <c r="Y20" i="4"/>
  <c r="Y12" i="4"/>
  <c r="AB12" i="4"/>
  <c r="AD12" i="4" s="1"/>
  <c r="Q12" i="4" s="1"/>
  <c r="K12" i="4" s="1"/>
  <c r="AB109" i="4"/>
  <c r="AD109" i="4" s="1"/>
  <c r="Q109" i="4" s="1"/>
  <c r="K109" i="4" s="1"/>
  <c r="Z60" i="4"/>
  <c r="Z58" i="4"/>
  <c r="AE42" i="4"/>
  <c r="AG42" i="4" s="1"/>
  <c r="AF127" i="4"/>
  <c r="Z64" i="4"/>
  <c r="AD136" i="4"/>
  <c r="Q136" i="4" s="1"/>
  <c r="K136" i="4" s="1"/>
  <c r="AD64" i="4"/>
  <c r="Q64" i="4" s="1"/>
  <c r="K64" i="4" s="1"/>
  <c r="Y164" i="4"/>
  <c r="AE9" i="4"/>
  <c r="Y135" i="4"/>
  <c r="Y160" i="4"/>
  <c r="Y203" i="4"/>
  <c r="AC165" i="4"/>
  <c r="P165" i="4" s="1"/>
  <c r="J165" i="4" s="1"/>
  <c r="Y102" i="4"/>
  <c r="AF210" i="4"/>
  <c r="AF27" i="4"/>
  <c r="Z28" i="4"/>
  <c r="Y48" i="4"/>
  <c r="Y200" i="4"/>
  <c r="AD5" i="4"/>
  <c r="Q5" i="4" s="1"/>
  <c r="K5" i="4" s="1"/>
  <c r="AD156" i="4"/>
  <c r="Q156" i="4" s="1"/>
  <c r="K156" i="4" s="1"/>
  <c r="Y81" i="4"/>
  <c r="AG68" i="4"/>
  <c r="AG114" i="4"/>
  <c r="AF40" i="4"/>
  <c r="AG131" i="4"/>
  <c r="AD193" i="4"/>
  <c r="Q193" i="4" s="1"/>
  <c r="K193" i="4" s="1"/>
  <c r="Y32" i="4"/>
  <c r="Y202" i="4"/>
  <c r="Y42" i="4"/>
  <c r="Z69" i="4"/>
  <c r="AC181" i="4"/>
  <c r="P181" i="4" s="1"/>
  <c r="J181" i="4" s="1"/>
  <c r="AG24" i="4"/>
  <c r="AF98" i="4"/>
  <c r="AD73" i="4"/>
  <c r="Q73" i="4" s="1"/>
  <c r="K73" i="4" s="1"/>
  <c r="AF160" i="4"/>
  <c r="Y14" i="4"/>
  <c r="Y58" i="4"/>
  <c r="Y69" i="4"/>
  <c r="Z115" i="4"/>
  <c r="Z42" i="4"/>
  <c r="Z160" i="4"/>
  <c r="AD187" i="4"/>
  <c r="Q187" i="4" s="1"/>
  <c r="K187" i="4" s="1"/>
  <c r="AF199" i="4"/>
  <c r="AD105" i="4"/>
  <c r="Q105" i="4" s="1"/>
  <c r="K105" i="4" s="1"/>
  <c r="Z114" i="4"/>
  <c r="Z171" i="4"/>
  <c r="Y116" i="4"/>
  <c r="Y131" i="4"/>
  <c r="Z199" i="4"/>
  <c r="AF196" i="4"/>
  <c r="AC171" i="4"/>
  <c r="P171" i="4" s="1"/>
  <c r="J171" i="4" s="1"/>
  <c r="Y151" i="4"/>
  <c r="Y100" i="4"/>
  <c r="Z105" i="4"/>
  <c r="Z98" i="4"/>
  <c r="Y140" i="4"/>
  <c r="Y196" i="4"/>
  <c r="Z2" i="4"/>
  <c r="Y156" i="4"/>
  <c r="Z181" i="4"/>
  <c r="AE164" i="4"/>
  <c r="AF164" i="4" s="1"/>
  <c r="Y59" i="4"/>
  <c r="Z212" i="4"/>
  <c r="Y40" i="4"/>
  <c r="Y56" i="4"/>
  <c r="Y181" i="4"/>
  <c r="AE181" i="4"/>
  <c r="AE69" i="4"/>
  <c r="AG69" i="4" s="1"/>
  <c r="AB58" i="4"/>
  <c r="AC58" i="4" s="1"/>
  <c r="P58" i="4" s="1"/>
  <c r="J58" i="4" s="1"/>
  <c r="Y187" i="4"/>
  <c r="Z70" i="4"/>
  <c r="AE156" i="4"/>
  <c r="AG156" i="4" s="1"/>
  <c r="AC121" i="4"/>
  <c r="P121" i="4" s="1"/>
  <c r="J121" i="4" s="1"/>
  <c r="AD4" i="4"/>
  <c r="Q4" i="4" s="1"/>
  <c r="K4" i="4" s="1"/>
  <c r="AC211" i="4"/>
  <c r="P211" i="4" s="1"/>
  <c r="J211" i="4" s="1"/>
  <c r="AG96" i="4"/>
  <c r="Y137" i="4"/>
  <c r="Y68" i="4"/>
  <c r="Z151" i="4"/>
  <c r="Y171" i="4"/>
  <c r="Y105" i="4"/>
  <c r="Z131" i="4"/>
  <c r="Y211" i="4"/>
  <c r="Y199" i="4"/>
  <c r="AE211" i="4"/>
  <c r="AG211" i="4" s="1"/>
  <c r="AE151" i="4"/>
  <c r="AG151" i="4" s="1"/>
  <c r="AB68" i="4"/>
  <c r="AB148" i="4"/>
  <c r="AC148" i="4" s="1"/>
  <c r="P148" i="4" s="1"/>
  <c r="J148" i="4" s="1"/>
  <c r="AE190" i="4"/>
  <c r="AE173" i="4"/>
  <c r="AD137" i="4"/>
  <c r="Q137" i="4" s="1"/>
  <c r="K137" i="4" s="1"/>
  <c r="AC166" i="4"/>
  <c r="P166" i="4" s="1"/>
  <c r="J166" i="4" s="1"/>
  <c r="AD54" i="4"/>
  <c r="Q54" i="4" s="1"/>
  <c r="K54" i="4" s="1"/>
  <c r="Y65" i="4"/>
  <c r="Z5" i="4"/>
  <c r="AB199" i="4"/>
  <c r="AB131" i="4"/>
  <c r="AC131" i="4" s="1"/>
  <c r="P131" i="4" s="1"/>
  <c r="J131" i="4" s="1"/>
  <c r="AE105" i="4"/>
  <c r="AD151" i="4"/>
  <c r="Q151" i="4" s="1"/>
  <c r="K151" i="4" s="1"/>
  <c r="AF44" i="4"/>
  <c r="Z68" i="4"/>
  <c r="Z138" i="4"/>
  <c r="AD84" i="4"/>
  <c r="Q84" i="4" s="1"/>
  <c r="K84" i="4" s="1"/>
  <c r="AG11" i="4"/>
  <c r="AF188" i="4"/>
  <c r="Y84" i="4"/>
  <c r="Y136" i="4"/>
  <c r="Y5" i="4"/>
  <c r="Z86" i="4"/>
  <c r="AE5" i="4"/>
  <c r="AG5" i="4" s="1"/>
  <c r="AE171" i="4"/>
  <c r="AB192" i="4"/>
  <c r="AE192" i="4"/>
  <c r="AG45" i="4"/>
  <c r="Z137" i="4"/>
  <c r="Z139" i="4"/>
  <c r="Y147" i="4"/>
  <c r="Z211" i="4"/>
  <c r="AE84" i="4"/>
  <c r="AD139" i="4"/>
  <c r="Q139" i="4" s="1"/>
  <c r="K139" i="4" s="1"/>
  <c r="AG95" i="4"/>
  <c r="AC208" i="4"/>
  <c r="P208" i="4" s="1"/>
  <c r="J208" i="4" s="1"/>
  <c r="AD53" i="4"/>
  <c r="Q53" i="4" s="1"/>
  <c r="K53" i="4" s="1"/>
  <c r="AG148" i="4"/>
  <c r="Z185" i="4"/>
  <c r="Z197" i="4"/>
  <c r="Y11" i="4"/>
  <c r="Y139" i="4"/>
  <c r="Y148" i="4"/>
  <c r="Z208" i="4"/>
  <c r="Y166" i="4"/>
  <c r="Y45" i="4"/>
  <c r="AB45" i="4"/>
  <c r="AC45" i="4" s="1"/>
  <c r="P45" i="4" s="1"/>
  <c r="J45" i="4" s="1"/>
  <c r="AB11" i="4"/>
  <c r="AD95" i="4"/>
  <c r="Q95" i="4" s="1"/>
  <c r="K95" i="4" s="1"/>
  <c r="Z84" i="4"/>
  <c r="Z11" i="4"/>
  <c r="Z136" i="4"/>
  <c r="Y95" i="4"/>
  <c r="Z148" i="4"/>
  <c r="Y194" i="4"/>
  <c r="Y121" i="4"/>
  <c r="Y208" i="4"/>
  <c r="Z166" i="4"/>
  <c r="Z45" i="4"/>
  <c r="AE139" i="4"/>
  <c r="AF139" i="4" s="1"/>
  <c r="AE137" i="4"/>
  <c r="AE136" i="4"/>
  <c r="Z36" i="4"/>
  <c r="AD62" i="4"/>
  <c r="Q62" i="4" s="1"/>
  <c r="K62" i="4" s="1"/>
  <c r="AF133" i="4"/>
  <c r="AF6" i="4"/>
  <c r="AF31" i="4"/>
  <c r="AD27" i="4"/>
  <c r="Q27" i="4" s="1"/>
  <c r="K27" i="4" s="1"/>
  <c r="Z161" i="4"/>
  <c r="Z117" i="4"/>
  <c r="Y157" i="4"/>
  <c r="AF47" i="4"/>
  <c r="Z119" i="4"/>
  <c r="Y34" i="4"/>
  <c r="Z53" i="4"/>
  <c r="Y110" i="4"/>
  <c r="Y17" i="4"/>
  <c r="AB36" i="4"/>
  <c r="AC36" i="4" s="1"/>
  <c r="P36" i="4" s="1"/>
  <c r="J36" i="4" s="1"/>
  <c r="AD25" i="4"/>
  <c r="Q25" i="4" s="1"/>
  <c r="K25" i="4" s="1"/>
  <c r="AF132" i="4"/>
  <c r="AF153" i="4"/>
  <c r="Z80" i="4"/>
  <c r="Y64" i="4"/>
  <c r="Y97" i="4"/>
  <c r="Z62" i="4"/>
  <c r="AE53" i="4"/>
  <c r="Z133" i="4"/>
  <c r="Z85" i="4"/>
  <c r="AE39" i="4"/>
  <c r="Y125" i="4"/>
  <c r="Y182" i="4"/>
  <c r="AF89" i="4"/>
  <c r="Y39" i="4"/>
  <c r="Y158" i="4"/>
  <c r="Z87" i="4"/>
  <c r="Y53" i="4"/>
  <c r="Y133" i="4"/>
  <c r="Z182" i="4"/>
  <c r="Z143" i="4"/>
  <c r="Z121" i="4"/>
  <c r="AE64" i="4"/>
  <c r="AG64" i="4" s="1"/>
  <c r="AE208" i="4"/>
  <c r="AE158" i="4"/>
  <c r="AE30" i="4"/>
  <c r="AB30" i="4"/>
  <c r="AB6" i="4"/>
  <c r="Y62" i="4"/>
  <c r="Y47" i="4"/>
  <c r="AB133" i="4"/>
  <c r="AC133" i="4" s="1"/>
  <c r="P133" i="4" s="1"/>
  <c r="J133" i="4" s="1"/>
  <c r="AB47" i="4"/>
  <c r="AD47" i="4" s="1"/>
  <c r="Q47" i="4" s="1"/>
  <c r="K47" i="4" s="1"/>
  <c r="AE62" i="4"/>
  <c r="Y142" i="4"/>
  <c r="Z118" i="4"/>
  <c r="Y36" i="4"/>
  <c r="Z6" i="4"/>
  <c r="AE182" i="4"/>
  <c r="Y2" i="4"/>
  <c r="AE187" i="4"/>
  <c r="Z196" i="4"/>
  <c r="Z40" i="4"/>
  <c r="Y114" i="4"/>
  <c r="Z120" i="4"/>
  <c r="Y99" i="4"/>
  <c r="Z187" i="4"/>
  <c r="Z156" i="4"/>
  <c r="Y6" i="4"/>
  <c r="Z47" i="4"/>
  <c r="AE121" i="4"/>
  <c r="AB2" i="4"/>
  <c r="Y98" i="4"/>
  <c r="AB114" i="4"/>
  <c r="AC114" i="4" s="1"/>
  <c r="P114" i="4" s="1"/>
  <c r="J114" i="4" s="1"/>
  <c r="AB40" i="4"/>
  <c r="AC40" i="4" s="1"/>
  <c r="P40" i="4" s="1"/>
  <c r="J40" i="4" s="1"/>
  <c r="AD23" i="4"/>
  <c r="Q23" i="4" s="1"/>
  <c r="K23" i="4" s="1"/>
  <c r="AB185" i="4"/>
  <c r="AE185" i="4"/>
  <c r="AB112" i="4"/>
  <c r="AE112" i="4"/>
  <c r="AB196" i="4"/>
  <c r="AB147" i="4"/>
  <c r="AE147" i="4"/>
  <c r="AB59" i="4"/>
  <c r="AE59" i="4"/>
  <c r="AE100" i="4"/>
  <c r="AB100" i="4"/>
  <c r="AB110" i="4"/>
  <c r="AE110" i="4"/>
  <c r="AE85" i="4"/>
  <c r="AB85" i="4"/>
  <c r="AE32" i="4"/>
  <c r="AB32" i="4"/>
  <c r="AB97" i="4"/>
  <c r="AE97" i="4"/>
  <c r="AB65" i="4"/>
  <c r="AE65" i="4"/>
  <c r="AB81" i="4"/>
  <c r="AE81" i="4"/>
  <c r="AE117" i="4"/>
  <c r="AB117" i="4"/>
  <c r="AE200" i="4"/>
  <c r="AB200" i="4"/>
  <c r="AE60" i="4"/>
  <c r="AB60" i="4"/>
  <c r="AE194" i="4"/>
  <c r="AB194" i="4"/>
  <c r="AB197" i="4"/>
  <c r="AE197" i="4"/>
  <c r="AE116" i="4"/>
  <c r="AB116" i="4"/>
  <c r="AE99" i="4"/>
  <c r="AB99" i="4"/>
  <c r="AE125" i="4"/>
  <c r="AB125" i="4"/>
  <c r="AE115" i="4"/>
  <c r="AB115" i="4"/>
  <c r="AE176" i="4"/>
  <c r="AB176" i="4"/>
  <c r="AE202" i="4"/>
  <c r="AB202" i="4"/>
  <c r="AB17" i="4"/>
  <c r="AE17" i="4"/>
  <c r="AB86" i="4"/>
  <c r="AE86" i="4"/>
  <c r="AE140" i="4"/>
  <c r="AB140" i="4"/>
  <c r="AB142" i="4"/>
  <c r="AE142" i="4"/>
  <c r="AE143" i="4"/>
  <c r="AB143" i="4"/>
  <c r="AE14" i="4"/>
  <c r="AB14" i="4"/>
  <c r="AE70" i="4"/>
  <c r="AB70" i="4"/>
  <c r="AB161" i="4"/>
  <c r="AE161" i="4"/>
  <c r="AE157" i="4"/>
  <c r="AB157" i="4"/>
  <c r="AE203" i="4"/>
  <c r="AB203" i="4"/>
  <c r="AE138" i="4"/>
  <c r="AB138" i="4"/>
  <c r="AE120" i="4"/>
  <c r="AB120" i="4"/>
  <c r="AB56" i="4"/>
  <c r="AE56" i="4"/>
  <c r="AB48" i="4"/>
  <c r="AE48" i="4"/>
  <c r="AB212" i="4"/>
  <c r="AE212" i="4"/>
  <c r="AB80" i="4"/>
  <c r="AE80" i="4"/>
  <c r="AE118" i="4"/>
  <c r="AB118" i="4"/>
  <c r="AB87" i="4"/>
  <c r="AE87" i="4"/>
  <c r="AE28" i="4"/>
  <c r="AB28" i="4"/>
  <c r="AB135" i="4"/>
  <c r="AE135" i="4"/>
  <c r="AB102" i="4"/>
  <c r="AE102" i="4"/>
  <c r="AB119" i="4"/>
  <c r="AE119" i="4"/>
  <c r="AB34" i="4"/>
  <c r="AE34" i="4"/>
  <c r="AC50" i="4"/>
  <c r="P50" i="4" s="1"/>
  <c r="J50" i="4" s="1"/>
  <c r="AF183" i="4"/>
  <c r="AC71" i="4"/>
  <c r="P71" i="4" s="1"/>
  <c r="J71" i="4" s="1"/>
  <c r="AF134" i="4"/>
  <c r="AD94" i="4"/>
  <c r="Q94" i="4" s="1"/>
  <c r="K94" i="4" s="1"/>
  <c r="AD186" i="4"/>
  <c r="Q186" i="4" s="1"/>
  <c r="K186" i="4" s="1"/>
  <c r="AF51" i="4"/>
  <c r="AD82" i="4"/>
  <c r="Q82" i="4" s="1"/>
  <c r="K82" i="4" s="1"/>
  <c r="AG7" i="4"/>
  <c r="AC20" i="4"/>
  <c r="P20" i="4" s="1"/>
  <c r="J20" i="4" s="1"/>
  <c r="AG191" i="4"/>
  <c r="Z74" i="4"/>
  <c r="Y74" i="4"/>
  <c r="Z43" i="4"/>
  <c r="Y43" i="4"/>
  <c r="Y63" i="4"/>
  <c r="Z63" i="4"/>
  <c r="Z106" i="4"/>
  <c r="Y106" i="4"/>
  <c r="Z104" i="4"/>
  <c r="Y104" i="4"/>
  <c r="Y18" i="4"/>
  <c r="Z18" i="4"/>
  <c r="Y8" i="4"/>
  <c r="Z8" i="4"/>
  <c r="Z129" i="4"/>
  <c r="Y129" i="4"/>
  <c r="Y130" i="4"/>
  <c r="Z130" i="4"/>
  <c r="Y123" i="4"/>
  <c r="Z123" i="4"/>
  <c r="Z79" i="4"/>
  <c r="Y79" i="4"/>
  <c r="Z66" i="4"/>
  <c r="Y66" i="4"/>
  <c r="Z162" i="4"/>
  <c r="Y162" i="4"/>
  <c r="Y146" i="4"/>
  <c r="Z146" i="4"/>
  <c r="Z38" i="4"/>
  <c r="Y38" i="4"/>
  <c r="Z198" i="4"/>
  <c r="Y198" i="4"/>
  <c r="Z177" i="4"/>
  <c r="Y177" i="4"/>
  <c r="Z57" i="4"/>
  <c r="Y57" i="4"/>
  <c r="Z150" i="4"/>
  <c r="Y150" i="4"/>
  <c r="Z10" i="4"/>
  <c r="Y10" i="4"/>
  <c r="Z144" i="4"/>
  <c r="Y144" i="4"/>
  <c r="Y3" i="4"/>
  <c r="Z3" i="4"/>
  <c r="Y19" i="4"/>
  <c r="Z19" i="4"/>
  <c r="Z35" i="4"/>
  <c r="Y35" i="4"/>
  <c r="Z103" i="4"/>
  <c r="Y103" i="4"/>
  <c r="Y88" i="4"/>
  <c r="Z88" i="4"/>
  <c r="Y145" i="4"/>
  <c r="Z145" i="4"/>
  <c r="Y169" i="4"/>
  <c r="Z169" i="4"/>
  <c r="Y26" i="4"/>
  <c r="Z26" i="4"/>
  <c r="Y154" i="4"/>
  <c r="Z154" i="4"/>
  <c r="Z92" i="4"/>
  <c r="Y92" i="4"/>
  <c r="Y178" i="4"/>
  <c r="Z178" i="4"/>
  <c r="Y83" i="4"/>
  <c r="Z83" i="4"/>
  <c r="Z101" i="4"/>
  <c r="Y101" i="4"/>
  <c r="Y15" i="4"/>
  <c r="Z15" i="4"/>
  <c r="Z61" i="4"/>
  <c r="Y61" i="4"/>
  <c r="Y113" i="4"/>
  <c r="Z113" i="4"/>
  <c r="Y90" i="4"/>
  <c r="Z90" i="4"/>
  <c r="Y75" i="4"/>
  <c r="Z75" i="4"/>
  <c r="Z189" i="4"/>
  <c r="Y189" i="4"/>
  <c r="Z195" i="4"/>
  <c r="Y195" i="4"/>
  <c r="Y175" i="4"/>
  <c r="Z175" i="4"/>
  <c r="Z152" i="4"/>
  <c r="Y152" i="4"/>
  <c r="Y209" i="4"/>
  <c r="Z209" i="4"/>
  <c r="Y159" i="4"/>
  <c r="Z159" i="4"/>
  <c r="Z141" i="4"/>
  <c r="Y141" i="4"/>
  <c r="Y168" i="4"/>
  <c r="Z168" i="4"/>
  <c r="Y180" i="4"/>
  <c r="Z180" i="4"/>
  <c r="Y72" i="4"/>
  <c r="Z72" i="4"/>
  <c r="Y93" i="4"/>
  <c r="Z93" i="4"/>
  <c r="Y122" i="4"/>
  <c r="Z122" i="4"/>
  <c r="Y55" i="4"/>
  <c r="Z55" i="4"/>
  <c r="Z149" i="4"/>
  <c r="Y149" i="4"/>
  <c r="Z174" i="4"/>
  <c r="Y174" i="4"/>
  <c r="Z128" i="4"/>
  <c r="Y128" i="4"/>
  <c r="Y204" i="4"/>
  <c r="Z204" i="4"/>
  <c r="Y207" i="4"/>
  <c r="Z207" i="4"/>
  <c r="Y111" i="4"/>
  <c r="Z111" i="4"/>
  <c r="Y76" i="4"/>
  <c r="Z76" i="4"/>
  <c r="Z29" i="4"/>
  <c r="Y29" i="4"/>
  <c r="Y170" i="4"/>
  <c r="Z170" i="4"/>
  <c r="Y41" i="4"/>
  <c r="Z41" i="4"/>
  <c r="Y67" i="4"/>
  <c r="Z67" i="4"/>
  <c r="Y107" i="4"/>
  <c r="Z107" i="4"/>
  <c r="Z52" i="4"/>
  <c r="Y52" i="4"/>
  <c r="Y77" i="4"/>
  <c r="Z77" i="4"/>
  <c r="Z126" i="4"/>
  <c r="Y126" i="4"/>
  <c r="Y21" i="4"/>
  <c r="Z21" i="4"/>
  <c r="Z22" i="4"/>
  <c r="Y22" i="4"/>
  <c r="Z163" i="4"/>
  <c r="Y163" i="4"/>
  <c r="Y108" i="4"/>
  <c r="Z108" i="4"/>
  <c r="Y78" i="4"/>
  <c r="Z78" i="4"/>
  <c r="Y33" i="4"/>
  <c r="Z33" i="4"/>
  <c r="Y49" i="4"/>
  <c r="Z49" i="4"/>
  <c r="Y179" i="4"/>
  <c r="Z179" i="4"/>
  <c r="Z46" i="4"/>
  <c r="Y46" i="4"/>
  <c r="Y124" i="4"/>
  <c r="Z124" i="4"/>
  <c r="Z205" i="4"/>
  <c r="Y205" i="4"/>
  <c r="Z184" i="4"/>
  <c r="Y184" i="4"/>
  <c r="Z13" i="4"/>
  <c r="Y13" i="4"/>
  <c r="Z16" i="4"/>
  <c r="Y16" i="4"/>
  <c r="Z206" i="4"/>
  <c r="Y206" i="4"/>
  <c r="Z37" i="4"/>
  <c r="Y37" i="4"/>
  <c r="Y172" i="4"/>
  <c r="Z172" i="4"/>
  <c r="Z201" i="4"/>
  <c r="Y201" i="4"/>
  <c r="AB209" i="4"/>
  <c r="AE209" i="4"/>
  <c r="AB159" i="4"/>
  <c r="AE159" i="4"/>
  <c r="AB141" i="4"/>
  <c r="AE141" i="4"/>
  <c r="AB168" i="4"/>
  <c r="AE168" i="4"/>
  <c r="AE180" i="4"/>
  <c r="AB180" i="4"/>
  <c r="AE72" i="4"/>
  <c r="AB72" i="4"/>
  <c r="AB93" i="4"/>
  <c r="AE93" i="4"/>
  <c r="AB122" i="4"/>
  <c r="AE122" i="4"/>
  <c r="AB55" i="4"/>
  <c r="AE55" i="4"/>
  <c r="AB149" i="4"/>
  <c r="AE149" i="4"/>
  <c r="AB174" i="4"/>
  <c r="AE174" i="4"/>
  <c r="AE128" i="4"/>
  <c r="AB128" i="4"/>
  <c r="AB204" i="4"/>
  <c r="AE204" i="4"/>
  <c r="AE207" i="4"/>
  <c r="AB207" i="4"/>
  <c r="AE111" i="4"/>
  <c r="AB111" i="4"/>
  <c r="AB76" i="4"/>
  <c r="AE76" i="4"/>
  <c r="AB29" i="4"/>
  <c r="AE29" i="4"/>
  <c r="AE170" i="4"/>
  <c r="AB170" i="4"/>
  <c r="AE41" i="4"/>
  <c r="AB41" i="4"/>
  <c r="AB67" i="4"/>
  <c r="AE67" i="4"/>
  <c r="AE107" i="4"/>
  <c r="AB107" i="4"/>
  <c r="AB52" i="4"/>
  <c r="AE52" i="4"/>
  <c r="AB77" i="4"/>
  <c r="AE77" i="4"/>
  <c r="AB126" i="4"/>
  <c r="AE126" i="4"/>
  <c r="AE21" i="4"/>
  <c r="AB21" i="4"/>
  <c r="AE22" i="4"/>
  <c r="AB22" i="4"/>
  <c r="AE163" i="4"/>
  <c r="AB163" i="4"/>
  <c r="AB108" i="4"/>
  <c r="AE108" i="4"/>
  <c r="AB78" i="4"/>
  <c r="AE78" i="4"/>
  <c r="AE33" i="4"/>
  <c r="AB33" i="4"/>
  <c r="AE49" i="4"/>
  <c r="AB49" i="4"/>
  <c r="AB179" i="4"/>
  <c r="AE179" i="4"/>
  <c r="AB46" i="4"/>
  <c r="AE46" i="4"/>
  <c r="AB124" i="4"/>
  <c r="AE124" i="4"/>
  <c r="AB205" i="4"/>
  <c r="AE205" i="4"/>
  <c r="AB184" i="4"/>
  <c r="AE184" i="4"/>
  <c r="AB13" i="4"/>
  <c r="AE13" i="4"/>
  <c r="AB16" i="4"/>
  <c r="AE16" i="4"/>
  <c r="AE206" i="4"/>
  <c r="AB206" i="4"/>
  <c r="AB37" i="4"/>
  <c r="AE37" i="4"/>
  <c r="AB172" i="4"/>
  <c r="AE172" i="4"/>
  <c r="AE201" i="4"/>
  <c r="AB201" i="4"/>
  <c r="AB74" i="4"/>
  <c r="AE74" i="4"/>
  <c r="AB43" i="4"/>
  <c r="AE43" i="4"/>
  <c r="AB63" i="4"/>
  <c r="AE63" i="4"/>
  <c r="AB106" i="4"/>
  <c r="AE106" i="4"/>
  <c r="AB104" i="4"/>
  <c r="AE104" i="4"/>
  <c r="AB18" i="4"/>
  <c r="AE18" i="4"/>
  <c r="AB8" i="4"/>
  <c r="AE8" i="4"/>
  <c r="AB129" i="4"/>
  <c r="AE129" i="4"/>
  <c r="AE130" i="4"/>
  <c r="AB130" i="4"/>
  <c r="AB123" i="4"/>
  <c r="AE123" i="4"/>
  <c r="AB79" i="4"/>
  <c r="AE79" i="4"/>
  <c r="AB66" i="4"/>
  <c r="AE66" i="4"/>
  <c r="AB162" i="4"/>
  <c r="AE162" i="4"/>
  <c r="AB146" i="4"/>
  <c r="AE146" i="4"/>
  <c r="AB38" i="4"/>
  <c r="AE38" i="4"/>
  <c r="AE198" i="4"/>
  <c r="AB198" i="4"/>
  <c r="AB177" i="4"/>
  <c r="AE177" i="4"/>
  <c r="AB57" i="4"/>
  <c r="AE57" i="4"/>
  <c r="AB150" i="4"/>
  <c r="AE150" i="4"/>
  <c r="AB10" i="4"/>
  <c r="AE10" i="4"/>
  <c r="AE144" i="4"/>
  <c r="AB144" i="4"/>
  <c r="AB3" i="4"/>
  <c r="AE3" i="4"/>
  <c r="AB19" i="4"/>
  <c r="AE19" i="4"/>
  <c r="AB35" i="4"/>
  <c r="AE35" i="4"/>
  <c r="AB103" i="4"/>
  <c r="AE103" i="4"/>
  <c r="AB88" i="4"/>
  <c r="AE88" i="4"/>
  <c r="AB145" i="4"/>
  <c r="AE145" i="4"/>
  <c r="AB169" i="4"/>
  <c r="AE169" i="4"/>
  <c r="AB26" i="4"/>
  <c r="AE26" i="4"/>
  <c r="AB154" i="4"/>
  <c r="AE154" i="4"/>
  <c r="AB92" i="4"/>
  <c r="AE92" i="4"/>
  <c r="AB178" i="4"/>
  <c r="AE178" i="4"/>
  <c r="AE83" i="4"/>
  <c r="AB83" i="4"/>
  <c r="AE101" i="4"/>
  <c r="AB101" i="4"/>
  <c r="AB15" i="4"/>
  <c r="AE15" i="4"/>
  <c r="AE61" i="4"/>
  <c r="AB61" i="4"/>
  <c r="AB113" i="4"/>
  <c r="AE113" i="4"/>
  <c r="AB90" i="4"/>
  <c r="AE90" i="4"/>
  <c r="AE75" i="4"/>
  <c r="AB75" i="4"/>
  <c r="AE189" i="4"/>
  <c r="AB189" i="4"/>
  <c r="AE195" i="4"/>
  <c r="AB195" i="4"/>
  <c r="AE175" i="4"/>
  <c r="AB175" i="4"/>
  <c r="AB152" i="4"/>
  <c r="AE152" i="4"/>
  <c r="AF91" i="4" l="1"/>
  <c r="AC98" i="4"/>
  <c r="P98" i="4" s="1"/>
  <c r="J98" i="4" s="1"/>
  <c r="AC109" i="4"/>
  <c r="P109" i="4" s="1"/>
  <c r="J109" i="4" s="1"/>
  <c r="AF156" i="4"/>
  <c r="AC12" i="4"/>
  <c r="P12" i="4" s="1"/>
  <c r="J12" i="4" s="1"/>
  <c r="AF42" i="4"/>
  <c r="AG166" i="4"/>
  <c r="AG155" i="4"/>
  <c r="AF9" i="4"/>
  <c r="AG9" i="4"/>
  <c r="AF5" i="4"/>
  <c r="AF211" i="4"/>
  <c r="AD114" i="4"/>
  <c r="Q114" i="4" s="1"/>
  <c r="K114" i="4" s="1"/>
  <c r="AG164" i="4"/>
  <c r="AC47" i="4"/>
  <c r="P47" i="4" s="1"/>
  <c r="J47" i="4" s="1"/>
  <c r="AF69" i="4"/>
  <c r="AF151" i="4"/>
  <c r="AD131" i="4"/>
  <c r="Q131" i="4" s="1"/>
  <c r="K131" i="4" s="1"/>
  <c r="AD58" i="4"/>
  <c r="Q58" i="4" s="1"/>
  <c r="K58" i="4" s="1"/>
  <c r="AG181" i="4"/>
  <c r="AF181" i="4"/>
  <c r="AD148" i="4"/>
  <c r="Q148" i="4" s="1"/>
  <c r="K148" i="4" s="1"/>
  <c r="AG171" i="4"/>
  <c r="AF171" i="4"/>
  <c r="AD68" i="4"/>
  <c r="Q68" i="4" s="1"/>
  <c r="K68" i="4" s="1"/>
  <c r="AC68" i="4"/>
  <c r="P68" i="4" s="1"/>
  <c r="J68" i="4" s="1"/>
  <c r="AC199" i="4"/>
  <c r="P199" i="4" s="1"/>
  <c r="J199" i="4" s="1"/>
  <c r="AD199" i="4"/>
  <c r="Q199" i="4" s="1"/>
  <c r="K199" i="4" s="1"/>
  <c r="AG139" i="4"/>
  <c r="AG105" i="4"/>
  <c r="AF105" i="4"/>
  <c r="AG173" i="4"/>
  <c r="AF173" i="4"/>
  <c r="AD40" i="4"/>
  <c r="Q40" i="4" s="1"/>
  <c r="K40" i="4" s="1"/>
  <c r="AG190" i="4"/>
  <c r="AF190" i="4"/>
  <c r="AG192" i="4"/>
  <c r="AF192" i="4"/>
  <c r="AC192" i="4"/>
  <c r="P192" i="4" s="1"/>
  <c r="J192" i="4" s="1"/>
  <c r="AD192" i="4"/>
  <c r="Q192" i="4" s="1"/>
  <c r="K192" i="4" s="1"/>
  <c r="AG137" i="4"/>
  <c r="AF137" i="4"/>
  <c r="AG84" i="4"/>
  <c r="AF84" i="4"/>
  <c r="AG136" i="4"/>
  <c r="AF136" i="4"/>
  <c r="AD45" i="4"/>
  <c r="Q45" i="4" s="1"/>
  <c r="K45" i="4" s="1"/>
  <c r="AC11" i="4"/>
  <c r="P11" i="4" s="1"/>
  <c r="J11" i="4" s="1"/>
  <c r="AD11" i="4"/>
  <c r="Q11" i="4" s="1"/>
  <c r="K11" i="4" s="1"/>
  <c r="AF64" i="4"/>
  <c r="AD36" i="4"/>
  <c r="Q36" i="4" s="1"/>
  <c r="K36" i="4" s="1"/>
  <c r="AF53" i="4"/>
  <c r="AG53" i="4"/>
  <c r="AD133" i="4"/>
  <c r="Q133" i="4" s="1"/>
  <c r="K133" i="4" s="1"/>
  <c r="AG158" i="4"/>
  <c r="AF158" i="4"/>
  <c r="AF39" i="4"/>
  <c r="AG39" i="4"/>
  <c r="AG208" i="4"/>
  <c r="AF208" i="4"/>
  <c r="AD30" i="4"/>
  <c r="Q30" i="4" s="1"/>
  <c r="K30" i="4" s="1"/>
  <c r="AC30" i="4"/>
  <c r="P30" i="4" s="1"/>
  <c r="J30" i="4" s="1"/>
  <c r="AG30" i="4"/>
  <c r="AF30" i="4"/>
  <c r="AF182" i="4"/>
  <c r="AG182" i="4"/>
  <c r="AG62" i="4"/>
  <c r="AF62" i="4"/>
  <c r="AD6" i="4"/>
  <c r="Q6" i="4" s="1"/>
  <c r="K6" i="4" s="1"/>
  <c r="AC6" i="4"/>
  <c r="P6" i="4" s="1"/>
  <c r="J6" i="4" s="1"/>
  <c r="AF121" i="4"/>
  <c r="AG121" i="4"/>
  <c r="AF187" i="4"/>
  <c r="AG187" i="4"/>
  <c r="AD2" i="4"/>
  <c r="Q2" i="4" s="1"/>
  <c r="K2" i="4" s="1"/>
  <c r="AC2" i="4"/>
  <c r="P2" i="4" s="1"/>
  <c r="J2" i="4" s="1"/>
  <c r="AF185" i="4"/>
  <c r="AG185" i="4"/>
  <c r="AC185" i="4"/>
  <c r="P185" i="4" s="1"/>
  <c r="J185" i="4" s="1"/>
  <c r="AD185" i="4"/>
  <c r="Q185" i="4" s="1"/>
  <c r="K185" i="4" s="1"/>
  <c r="AG112" i="4"/>
  <c r="AF112" i="4"/>
  <c r="AD112" i="4"/>
  <c r="Q112" i="4" s="1"/>
  <c r="K112" i="4" s="1"/>
  <c r="AC112" i="4"/>
  <c r="P112" i="4" s="1"/>
  <c r="J112" i="4" s="1"/>
  <c r="AF147" i="4"/>
  <c r="AG147" i="4"/>
  <c r="AC147" i="4"/>
  <c r="P147" i="4" s="1"/>
  <c r="J147" i="4" s="1"/>
  <c r="AD147" i="4"/>
  <c r="Q147" i="4" s="1"/>
  <c r="K147" i="4" s="1"/>
  <c r="AC196" i="4"/>
  <c r="P196" i="4" s="1"/>
  <c r="J196" i="4" s="1"/>
  <c r="AD196" i="4"/>
  <c r="Q196" i="4" s="1"/>
  <c r="K196" i="4" s="1"/>
  <c r="AC85" i="4"/>
  <c r="P85" i="4" s="1"/>
  <c r="J85" i="4" s="1"/>
  <c r="AD85" i="4"/>
  <c r="Q85" i="4" s="1"/>
  <c r="K85" i="4" s="1"/>
  <c r="AC100" i="4"/>
  <c r="P100" i="4" s="1"/>
  <c r="J100" i="4" s="1"/>
  <c r="AD100" i="4"/>
  <c r="Q100" i="4" s="1"/>
  <c r="K100" i="4" s="1"/>
  <c r="AF85" i="4"/>
  <c r="AG85" i="4"/>
  <c r="AF100" i="4"/>
  <c r="AG100" i="4"/>
  <c r="AG110" i="4"/>
  <c r="AF110" i="4"/>
  <c r="AG59" i="4"/>
  <c r="AF59" i="4"/>
  <c r="AC110" i="4"/>
  <c r="P110" i="4" s="1"/>
  <c r="J110" i="4" s="1"/>
  <c r="AD110" i="4"/>
  <c r="Q110" i="4" s="1"/>
  <c r="K110" i="4" s="1"/>
  <c r="AD59" i="4"/>
  <c r="Q59" i="4" s="1"/>
  <c r="K59" i="4" s="1"/>
  <c r="AC59" i="4"/>
  <c r="P59" i="4" s="1"/>
  <c r="J59" i="4" s="1"/>
  <c r="AF97" i="4"/>
  <c r="AG97" i="4"/>
  <c r="AD97" i="4"/>
  <c r="Q97" i="4" s="1"/>
  <c r="K97" i="4" s="1"/>
  <c r="AC97" i="4"/>
  <c r="P97" i="4" s="1"/>
  <c r="J97" i="4" s="1"/>
  <c r="AF65" i="4"/>
  <c r="AG65" i="4"/>
  <c r="AC32" i="4"/>
  <c r="P32" i="4" s="1"/>
  <c r="J32" i="4" s="1"/>
  <c r="AD32" i="4"/>
  <c r="Q32" i="4" s="1"/>
  <c r="K32" i="4" s="1"/>
  <c r="AC65" i="4"/>
  <c r="P65" i="4" s="1"/>
  <c r="J65" i="4" s="1"/>
  <c r="AD65" i="4"/>
  <c r="Q65" i="4" s="1"/>
  <c r="K65" i="4" s="1"/>
  <c r="AG32" i="4"/>
  <c r="AF32" i="4"/>
  <c r="AF197" i="4"/>
  <c r="AG197" i="4"/>
  <c r="AC60" i="4"/>
  <c r="P60" i="4" s="1"/>
  <c r="J60" i="4" s="1"/>
  <c r="AD60" i="4"/>
  <c r="Q60" i="4" s="1"/>
  <c r="K60" i="4" s="1"/>
  <c r="AC117" i="4"/>
  <c r="P117" i="4" s="1"/>
  <c r="J117" i="4" s="1"/>
  <c r="AD117" i="4"/>
  <c r="Q117" i="4" s="1"/>
  <c r="K117" i="4" s="1"/>
  <c r="AD197" i="4"/>
  <c r="Q197" i="4" s="1"/>
  <c r="K197" i="4" s="1"/>
  <c r="AC197" i="4"/>
  <c r="P197" i="4" s="1"/>
  <c r="J197" i="4" s="1"/>
  <c r="AF60" i="4"/>
  <c r="AG60" i="4"/>
  <c r="AF117" i="4"/>
  <c r="AG117" i="4"/>
  <c r="AD194" i="4"/>
  <c r="Q194" i="4" s="1"/>
  <c r="K194" i="4" s="1"/>
  <c r="AC194" i="4"/>
  <c r="P194" i="4" s="1"/>
  <c r="J194" i="4" s="1"/>
  <c r="AC200" i="4"/>
  <c r="P200" i="4" s="1"/>
  <c r="J200" i="4" s="1"/>
  <c r="AD200" i="4"/>
  <c r="Q200" i="4" s="1"/>
  <c r="K200" i="4" s="1"/>
  <c r="AF81" i="4"/>
  <c r="AG81" i="4"/>
  <c r="AG194" i="4"/>
  <c r="AF194" i="4"/>
  <c r="AG200" i="4"/>
  <c r="AF200" i="4"/>
  <c r="AD81" i="4"/>
  <c r="Q81" i="4" s="1"/>
  <c r="K81" i="4" s="1"/>
  <c r="AC81" i="4"/>
  <c r="P81" i="4" s="1"/>
  <c r="J81" i="4" s="1"/>
  <c r="AF86" i="4"/>
  <c r="AG86" i="4"/>
  <c r="AD202" i="4"/>
  <c r="Q202" i="4" s="1"/>
  <c r="K202" i="4" s="1"/>
  <c r="AC202" i="4"/>
  <c r="P202" i="4" s="1"/>
  <c r="J202" i="4" s="1"/>
  <c r="AD115" i="4"/>
  <c r="Q115" i="4" s="1"/>
  <c r="K115" i="4" s="1"/>
  <c r="AC115" i="4"/>
  <c r="P115" i="4" s="1"/>
  <c r="J115" i="4" s="1"/>
  <c r="AD99" i="4"/>
  <c r="Q99" i="4" s="1"/>
  <c r="K99" i="4" s="1"/>
  <c r="AC99" i="4"/>
  <c r="P99" i="4" s="1"/>
  <c r="J99" i="4" s="1"/>
  <c r="AD86" i="4"/>
  <c r="Q86" i="4" s="1"/>
  <c r="K86" i="4" s="1"/>
  <c r="AC86" i="4"/>
  <c r="P86" i="4" s="1"/>
  <c r="J86" i="4" s="1"/>
  <c r="AG202" i="4"/>
  <c r="AF202" i="4"/>
  <c r="AF115" i="4"/>
  <c r="AG115" i="4"/>
  <c r="AG99" i="4"/>
  <c r="AF99" i="4"/>
  <c r="AG17" i="4"/>
  <c r="AF17" i="4"/>
  <c r="AC176" i="4"/>
  <c r="P176" i="4" s="1"/>
  <c r="J176" i="4" s="1"/>
  <c r="AD176" i="4"/>
  <c r="Q176" i="4" s="1"/>
  <c r="K176" i="4" s="1"/>
  <c r="AC125" i="4"/>
  <c r="P125" i="4" s="1"/>
  <c r="J125" i="4" s="1"/>
  <c r="AD125" i="4"/>
  <c r="Q125" i="4" s="1"/>
  <c r="K125" i="4" s="1"/>
  <c r="AD116" i="4"/>
  <c r="Q116" i="4" s="1"/>
  <c r="K116" i="4" s="1"/>
  <c r="AC116" i="4"/>
  <c r="P116" i="4" s="1"/>
  <c r="J116" i="4" s="1"/>
  <c r="AD17" i="4"/>
  <c r="Q17" i="4" s="1"/>
  <c r="K17" i="4" s="1"/>
  <c r="AC17" i="4"/>
  <c r="P17" i="4" s="1"/>
  <c r="J17" i="4" s="1"/>
  <c r="AG176" i="4"/>
  <c r="AF176" i="4"/>
  <c r="AG125" i="4"/>
  <c r="AF125" i="4"/>
  <c r="AG116" i="4"/>
  <c r="AF116" i="4"/>
  <c r="AF161" i="4"/>
  <c r="AG161" i="4"/>
  <c r="AC14" i="4"/>
  <c r="P14" i="4" s="1"/>
  <c r="J14" i="4" s="1"/>
  <c r="AD14" i="4"/>
  <c r="Q14" i="4" s="1"/>
  <c r="K14" i="4" s="1"/>
  <c r="AG142" i="4"/>
  <c r="AF142" i="4"/>
  <c r="AD161" i="4"/>
  <c r="Q161" i="4" s="1"/>
  <c r="K161" i="4" s="1"/>
  <c r="AC161" i="4"/>
  <c r="P161" i="4" s="1"/>
  <c r="J161" i="4" s="1"/>
  <c r="AG14" i="4"/>
  <c r="AF14" i="4"/>
  <c r="AD142" i="4"/>
  <c r="Q142" i="4" s="1"/>
  <c r="K142" i="4" s="1"/>
  <c r="AC142" i="4"/>
  <c r="P142" i="4" s="1"/>
  <c r="J142" i="4" s="1"/>
  <c r="AC157" i="4"/>
  <c r="P157" i="4" s="1"/>
  <c r="J157" i="4" s="1"/>
  <c r="AD157" i="4"/>
  <c r="Q157" i="4" s="1"/>
  <c r="K157" i="4" s="1"/>
  <c r="AD70" i="4"/>
  <c r="Q70" i="4" s="1"/>
  <c r="K70" i="4" s="1"/>
  <c r="AC70" i="4"/>
  <c r="P70" i="4" s="1"/>
  <c r="J70" i="4" s="1"/>
  <c r="AC143" i="4"/>
  <c r="P143" i="4" s="1"/>
  <c r="J143" i="4" s="1"/>
  <c r="AD143" i="4"/>
  <c r="Q143" i="4" s="1"/>
  <c r="K143" i="4" s="1"/>
  <c r="AC140" i="4"/>
  <c r="P140" i="4" s="1"/>
  <c r="J140" i="4" s="1"/>
  <c r="AD140" i="4"/>
  <c r="Q140" i="4" s="1"/>
  <c r="K140" i="4" s="1"/>
  <c r="AG157" i="4"/>
  <c r="AF157" i="4"/>
  <c r="AG70" i="4"/>
  <c r="AF70" i="4"/>
  <c r="AG143" i="4"/>
  <c r="AF143" i="4"/>
  <c r="AG140" i="4"/>
  <c r="AF140" i="4"/>
  <c r="AG56" i="4"/>
  <c r="AF56" i="4"/>
  <c r="AC138" i="4"/>
  <c r="P138" i="4" s="1"/>
  <c r="J138" i="4" s="1"/>
  <c r="AD138" i="4"/>
  <c r="Q138" i="4" s="1"/>
  <c r="K138" i="4" s="1"/>
  <c r="AC56" i="4"/>
  <c r="P56" i="4" s="1"/>
  <c r="J56" i="4" s="1"/>
  <c r="AD56" i="4"/>
  <c r="Q56" i="4" s="1"/>
  <c r="K56" i="4" s="1"/>
  <c r="AG138" i="4"/>
  <c r="AF138" i="4"/>
  <c r="AD120" i="4"/>
  <c r="Q120" i="4" s="1"/>
  <c r="K120" i="4" s="1"/>
  <c r="AC120" i="4"/>
  <c r="P120" i="4" s="1"/>
  <c r="J120" i="4" s="1"/>
  <c r="AD203" i="4"/>
  <c r="Q203" i="4" s="1"/>
  <c r="K203" i="4" s="1"/>
  <c r="AC203" i="4"/>
  <c r="P203" i="4" s="1"/>
  <c r="J203" i="4" s="1"/>
  <c r="AG120" i="4"/>
  <c r="AF120" i="4"/>
  <c r="AG203" i="4"/>
  <c r="AF203" i="4"/>
  <c r="AG34" i="4"/>
  <c r="AF34" i="4"/>
  <c r="AF102" i="4"/>
  <c r="AG102" i="4"/>
  <c r="AD28" i="4"/>
  <c r="Q28" i="4" s="1"/>
  <c r="K28" i="4" s="1"/>
  <c r="AC28" i="4"/>
  <c r="P28" i="4" s="1"/>
  <c r="J28" i="4" s="1"/>
  <c r="AD118" i="4"/>
  <c r="Q118" i="4" s="1"/>
  <c r="K118" i="4" s="1"/>
  <c r="AC118" i="4"/>
  <c r="P118" i="4" s="1"/>
  <c r="J118" i="4" s="1"/>
  <c r="AG212" i="4"/>
  <c r="AF212" i="4"/>
  <c r="AD34" i="4"/>
  <c r="Q34" i="4" s="1"/>
  <c r="K34" i="4" s="1"/>
  <c r="AC34" i="4"/>
  <c r="P34" i="4" s="1"/>
  <c r="J34" i="4" s="1"/>
  <c r="AD102" i="4"/>
  <c r="Q102" i="4" s="1"/>
  <c r="K102" i="4" s="1"/>
  <c r="AC102" i="4"/>
  <c r="P102" i="4" s="1"/>
  <c r="J102" i="4" s="1"/>
  <c r="AG28" i="4"/>
  <c r="AF28" i="4"/>
  <c r="AF118" i="4"/>
  <c r="AG118" i="4"/>
  <c r="AD212" i="4"/>
  <c r="Q212" i="4" s="1"/>
  <c r="K212" i="4" s="1"/>
  <c r="AC212" i="4"/>
  <c r="P212" i="4" s="1"/>
  <c r="J212" i="4" s="1"/>
  <c r="AG119" i="4"/>
  <c r="AF119" i="4"/>
  <c r="AG135" i="4"/>
  <c r="AF135" i="4"/>
  <c r="AF87" i="4"/>
  <c r="AG87" i="4"/>
  <c r="AF80" i="4"/>
  <c r="AG80" i="4"/>
  <c r="AG48" i="4"/>
  <c r="AF48" i="4"/>
  <c r="AD119" i="4"/>
  <c r="Q119" i="4" s="1"/>
  <c r="K119" i="4" s="1"/>
  <c r="AC119" i="4"/>
  <c r="P119" i="4" s="1"/>
  <c r="J119" i="4" s="1"/>
  <c r="AD135" i="4"/>
  <c r="Q135" i="4" s="1"/>
  <c r="K135" i="4" s="1"/>
  <c r="AC135" i="4"/>
  <c r="P135" i="4" s="1"/>
  <c r="J135" i="4" s="1"/>
  <c r="AD87" i="4"/>
  <c r="Q87" i="4" s="1"/>
  <c r="K87" i="4" s="1"/>
  <c r="AC87" i="4"/>
  <c r="P87" i="4" s="1"/>
  <c r="J87" i="4" s="1"/>
  <c r="AD80" i="4"/>
  <c r="Q80" i="4" s="1"/>
  <c r="K80" i="4" s="1"/>
  <c r="AC80" i="4"/>
  <c r="P80" i="4" s="1"/>
  <c r="J80" i="4" s="1"/>
  <c r="AD48" i="4"/>
  <c r="Q48" i="4" s="1"/>
  <c r="K48" i="4" s="1"/>
  <c r="AC48" i="4"/>
  <c r="P48" i="4" s="1"/>
  <c r="J48" i="4" s="1"/>
  <c r="AC152" i="4"/>
  <c r="P152" i="4" s="1"/>
  <c r="J152" i="4" s="1"/>
  <c r="AD152" i="4"/>
  <c r="Q152" i="4" s="1"/>
  <c r="K152" i="4" s="1"/>
  <c r="AG75" i="4"/>
  <c r="AF75" i="4"/>
  <c r="AD15" i="4"/>
  <c r="Q15" i="4" s="1"/>
  <c r="K15" i="4" s="1"/>
  <c r="AC15" i="4"/>
  <c r="P15" i="4" s="1"/>
  <c r="J15" i="4" s="1"/>
  <c r="AD175" i="4"/>
  <c r="Q175" i="4" s="1"/>
  <c r="K175" i="4" s="1"/>
  <c r="AC175" i="4"/>
  <c r="P175" i="4" s="1"/>
  <c r="J175" i="4" s="1"/>
  <c r="AD189" i="4"/>
  <c r="Q189" i="4" s="1"/>
  <c r="K189" i="4" s="1"/>
  <c r="AC189" i="4"/>
  <c r="P189" i="4" s="1"/>
  <c r="J189" i="4" s="1"/>
  <c r="AG90" i="4"/>
  <c r="AF90" i="4"/>
  <c r="AD61" i="4"/>
  <c r="Q61" i="4" s="1"/>
  <c r="K61" i="4" s="1"/>
  <c r="AC61" i="4"/>
  <c r="P61" i="4" s="1"/>
  <c r="J61" i="4" s="1"/>
  <c r="AD101" i="4"/>
  <c r="Q101" i="4" s="1"/>
  <c r="K101" i="4" s="1"/>
  <c r="AC101" i="4"/>
  <c r="P101" i="4" s="1"/>
  <c r="J101" i="4" s="1"/>
  <c r="AG178" i="4"/>
  <c r="AF178" i="4"/>
  <c r="AG154" i="4"/>
  <c r="AF154" i="4"/>
  <c r="AF169" i="4"/>
  <c r="AG169" i="4"/>
  <c r="AG88" i="4"/>
  <c r="AF88" i="4"/>
  <c r="AG35" i="4"/>
  <c r="AF35" i="4"/>
  <c r="AG3" i="4"/>
  <c r="AF3" i="4"/>
  <c r="AG10" i="4"/>
  <c r="AF10" i="4"/>
  <c r="AG57" i="4"/>
  <c r="AF57" i="4"/>
  <c r="AD198" i="4"/>
  <c r="Q198" i="4" s="1"/>
  <c r="K198" i="4" s="1"/>
  <c r="AC198" i="4"/>
  <c r="P198" i="4" s="1"/>
  <c r="J198" i="4" s="1"/>
  <c r="AG146" i="4"/>
  <c r="AF146" i="4"/>
  <c r="AF66" i="4"/>
  <c r="AG66" i="4"/>
  <c r="AF123" i="4"/>
  <c r="AG123" i="4"/>
  <c r="AF129" i="4"/>
  <c r="AG129" i="4"/>
  <c r="AG18" i="4"/>
  <c r="AF18" i="4"/>
  <c r="AF106" i="4"/>
  <c r="AG106" i="4"/>
  <c r="AG43" i="4"/>
  <c r="AF43" i="4"/>
  <c r="AD201" i="4"/>
  <c r="Q201" i="4" s="1"/>
  <c r="K201" i="4" s="1"/>
  <c r="AC201" i="4"/>
  <c r="P201" i="4" s="1"/>
  <c r="J201" i="4" s="1"/>
  <c r="AG37" i="4"/>
  <c r="AF37" i="4"/>
  <c r="AG16" i="4"/>
  <c r="AF16" i="4"/>
  <c r="AG184" i="4"/>
  <c r="AF184" i="4"/>
  <c r="AF124" i="4"/>
  <c r="AG124" i="4"/>
  <c r="AG179" i="4"/>
  <c r="AF179" i="4"/>
  <c r="AD33" i="4"/>
  <c r="Q33" i="4" s="1"/>
  <c r="K33" i="4" s="1"/>
  <c r="AC33" i="4"/>
  <c r="P33" i="4" s="1"/>
  <c r="J33" i="4" s="1"/>
  <c r="AF108" i="4"/>
  <c r="AG108" i="4"/>
  <c r="AC22" i="4"/>
  <c r="P22" i="4" s="1"/>
  <c r="J22" i="4" s="1"/>
  <c r="AD22" i="4"/>
  <c r="Q22" i="4" s="1"/>
  <c r="K22" i="4" s="1"/>
  <c r="AG126" i="4"/>
  <c r="AF126" i="4"/>
  <c r="AG52" i="4"/>
  <c r="AF52" i="4"/>
  <c r="AF67" i="4"/>
  <c r="AG67" i="4"/>
  <c r="AC170" i="4"/>
  <c r="P170" i="4" s="1"/>
  <c r="J170" i="4" s="1"/>
  <c r="AD170" i="4"/>
  <c r="Q170" i="4" s="1"/>
  <c r="K170" i="4" s="1"/>
  <c r="AG76" i="4"/>
  <c r="AF76" i="4"/>
  <c r="AD207" i="4"/>
  <c r="Q207" i="4" s="1"/>
  <c r="K207" i="4" s="1"/>
  <c r="AC207" i="4"/>
  <c r="P207" i="4" s="1"/>
  <c r="J207" i="4" s="1"/>
  <c r="AC128" i="4"/>
  <c r="P128" i="4" s="1"/>
  <c r="J128" i="4" s="1"/>
  <c r="AD128" i="4"/>
  <c r="Q128" i="4" s="1"/>
  <c r="K128" i="4" s="1"/>
  <c r="AF149" i="4"/>
  <c r="AG149" i="4"/>
  <c r="AG122" i="4"/>
  <c r="AF122" i="4"/>
  <c r="AC72" i="4"/>
  <c r="P72" i="4" s="1"/>
  <c r="J72" i="4" s="1"/>
  <c r="AD72" i="4"/>
  <c r="Q72" i="4" s="1"/>
  <c r="K72" i="4" s="1"/>
  <c r="AF168" i="4"/>
  <c r="AG168" i="4"/>
  <c r="AG159" i="4"/>
  <c r="AF159" i="4"/>
  <c r="AG189" i="4"/>
  <c r="AF189" i="4"/>
  <c r="AF61" i="4"/>
  <c r="AG61" i="4"/>
  <c r="AC154" i="4"/>
  <c r="P154" i="4" s="1"/>
  <c r="J154" i="4" s="1"/>
  <c r="AD154" i="4"/>
  <c r="Q154" i="4" s="1"/>
  <c r="K154" i="4" s="1"/>
  <c r="AC169" i="4"/>
  <c r="P169" i="4" s="1"/>
  <c r="J169" i="4" s="1"/>
  <c r="AD169" i="4"/>
  <c r="Q169" i="4" s="1"/>
  <c r="K169" i="4" s="1"/>
  <c r="AD88" i="4"/>
  <c r="Q88" i="4" s="1"/>
  <c r="K88" i="4" s="1"/>
  <c r="AC88" i="4"/>
  <c r="P88" i="4" s="1"/>
  <c r="J88" i="4" s="1"/>
  <c r="AD35" i="4"/>
  <c r="Q35" i="4" s="1"/>
  <c r="K35" i="4" s="1"/>
  <c r="AC35" i="4"/>
  <c r="P35" i="4" s="1"/>
  <c r="J35" i="4" s="1"/>
  <c r="AD3" i="4"/>
  <c r="Q3" i="4" s="1"/>
  <c r="K3" i="4" s="1"/>
  <c r="AC3" i="4"/>
  <c r="P3" i="4" s="1"/>
  <c r="J3" i="4" s="1"/>
  <c r="AD10" i="4"/>
  <c r="Q10" i="4" s="1"/>
  <c r="K10" i="4" s="1"/>
  <c r="AC10" i="4"/>
  <c r="P10" i="4" s="1"/>
  <c r="J10" i="4" s="1"/>
  <c r="AC57" i="4"/>
  <c r="P57" i="4" s="1"/>
  <c r="J57" i="4" s="1"/>
  <c r="AD57" i="4"/>
  <c r="Q57" i="4" s="1"/>
  <c r="K57" i="4" s="1"/>
  <c r="AG198" i="4"/>
  <c r="AF198" i="4"/>
  <c r="AC146" i="4"/>
  <c r="P146" i="4" s="1"/>
  <c r="J146" i="4" s="1"/>
  <c r="AD146" i="4"/>
  <c r="Q146" i="4" s="1"/>
  <c r="K146" i="4" s="1"/>
  <c r="AC66" i="4"/>
  <c r="P66" i="4" s="1"/>
  <c r="J66" i="4" s="1"/>
  <c r="AD66" i="4"/>
  <c r="Q66" i="4" s="1"/>
  <c r="K66" i="4" s="1"/>
  <c r="AD123" i="4"/>
  <c r="Q123" i="4" s="1"/>
  <c r="K123" i="4" s="1"/>
  <c r="AC123" i="4"/>
  <c r="P123" i="4" s="1"/>
  <c r="J123" i="4" s="1"/>
  <c r="AD129" i="4"/>
  <c r="Q129" i="4" s="1"/>
  <c r="K129" i="4" s="1"/>
  <c r="AC129" i="4"/>
  <c r="P129" i="4" s="1"/>
  <c r="J129" i="4" s="1"/>
  <c r="AD18" i="4"/>
  <c r="Q18" i="4" s="1"/>
  <c r="K18" i="4" s="1"/>
  <c r="AC18" i="4"/>
  <c r="P18" i="4" s="1"/>
  <c r="J18" i="4" s="1"/>
  <c r="AD106" i="4"/>
  <c r="Q106" i="4" s="1"/>
  <c r="K106" i="4" s="1"/>
  <c r="AC106" i="4"/>
  <c r="P106" i="4" s="1"/>
  <c r="J106" i="4" s="1"/>
  <c r="AD43" i="4"/>
  <c r="Q43" i="4" s="1"/>
  <c r="K43" i="4" s="1"/>
  <c r="AC43" i="4"/>
  <c r="P43" i="4" s="1"/>
  <c r="J43" i="4" s="1"/>
  <c r="AF201" i="4"/>
  <c r="AG201" i="4"/>
  <c r="AC37" i="4"/>
  <c r="P37" i="4" s="1"/>
  <c r="J37" i="4" s="1"/>
  <c r="AD37" i="4"/>
  <c r="Q37" i="4" s="1"/>
  <c r="K37" i="4" s="1"/>
  <c r="AD16" i="4"/>
  <c r="Q16" i="4" s="1"/>
  <c r="K16" i="4" s="1"/>
  <c r="AC16" i="4"/>
  <c r="P16" i="4" s="1"/>
  <c r="J16" i="4" s="1"/>
  <c r="AD184" i="4"/>
  <c r="Q184" i="4" s="1"/>
  <c r="K184" i="4" s="1"/>
  <c r="AC184" i="4"/>
  <c r="P184" i="4" s="1"/>
  <c r="J184" i="4" s="1"/>
  <c r="AC124" i="4"/>
  <c r="P124" i="4" s="1"/>
  <c r="J124" i="4" s="1"/>
  <c r="AD124" i="4"/>
  <c r="Q124" i="4" s="1"/>
  <c r="K124" i="4" s="1"/>
  <c r="AD179" i="4"/>
  <c r="Q179" i="4" s="1"/>
  <c r="K179" i="4" s="1"/>
  <c r="AC179" i="4"/>
  <c r="P179" i="4" s="1"/>
  <c r="J179" i="4" s="1"/>
  <c r="AG33" i="4"/>
  <c r="AF33" i="4"/>
  <c r="AD108" i="4"/>
  <c r="Q108" i="4" s="1"/>
  <c r="K108" i="4" s="1"/>
  <c r="AC108" i="4"/>
  <c r="P108" i="4" s="1"/>
  <c r="J108" i="4" s="1"/>
  <c r="AF22" i="4"/>
  <c r="AG22" i="4"/>
  <c r="AC126" i="4"/>
  <c r="P126" i="4" s="1"/>
  <c r="J126" i="4" s="1"/>
  <c r="AD126" i="4"/>
  <c r="Q126" i="4" s="1"/>
  <c r="K126" i="4" s="1"/>
  <c r="AC52" i="4"/>
  <c r="P52" i="4" s="1"/>
  <c r="J52" i="4" s="1"/>
  <c r="AD52" i="4"/>
  <c r="Q52" i="4" s="1"/>
  <c r="K52" i="4" s="1"/>
  <c r="AD67" i="4"/>
  <c r="Q67" i="4" s="1"/>
  <c r="K67" i="4" s="1"/>
  <c r="AC67" i="4"/>
  <c r="P67" i="4" s="1"/>
  <c r="J67" i="4" s="1"/>
  <c r="AG170" i="4"/>
  <c r="AF170" i="4"/>
  <c r="AC76" i="4"/>
  <c r="P76" i="4" s="1"/>
  <c r="J76" i="4" s="1"/>
  <c r="AD76" i="4"/>
  <c r="Q76" i="4" s="1"/>
  <c r="K76" i="4" s="1"/>
  <c r="AG207" i="4"/>
  <c r="AF207" i="4"/>
  <c r="AF128" i="4"/>
  <c r="AG128" i="4"/>
  <c r="AC149" i="4"/>
  <c r="P149" i="4" s="1"/>
  <c r="J149" i="4" s="1"/>
  <c r="AD149" i="4"/>
  <c r="Q149" i="4" s="1"/>
  <c r="K149" i="4" s="1"/>
  <c r="AD122" i="4"/>
  <c r="Q122" i="4" s="1"/>
  <c r="K122" i="4" s="1"/>
  <c r="AC122" i="4"/>
  <c r="P122" i="4" s="1"/>
  <c r="J122" i="4" s="1"/>
  <c r="AG72" i="4"/>
  <c r="AF72" i="4"/>
  <c r="AD168" i="4"/>
  <c r="Q168" i="4" s="1"/>
  <c r="K168" i="4" s="1"/>
  <c r="AC168" i="4"/>
  <c r="P168" i="4" s="1"/>
  <c r="J168" i="4" s="1"/>
  <c r="AC159" i="4"/>
  <c r="P159" i="4" s="1"/>
  <c r="J159" i="4" s="1"/>
  <c r="AD159" i="4"/>
  <c r="Q159" i="4" s="1"/>
  <c r="K159" i="4" s="1"/>
  <c r="AC90" i="4"/>
  <c r="P90" i="4" s="1"/>
  <c r="J90" i="4" s="1"/>
  <c r="AD90" i="4"/>
  <c r="Q90" i="4" s="1"/>
  <c r="K90" i="4" s="1"/>
  <c r="AG101" i="4"/>
  <c r="AF101" i="4"/>
  <c r="AD178" i="4"/>
  <c r="Q178" i="4" s="1"/>
  <c r="K178" i="4" s="1"/>
  <c r="AC178" i="4"/>
  <c r="P178" i="4" s="1"/>
  <c r="J178" i="4" s="1"/>
  <c r="AF152" i="4"/>
  <c r="AG152" i="4"/>
  <c r="AC195" i="4"/>
  <c r="P195" i="4" s="1"/>
  <c r="J195" i="4" s="1"/>
  <c r="AD195" i="4"/>
  <c r="Q195" i="4" s="1"/>
  <c r="K195" i="4" s="1"/>
  <c r="AD75" i="4"/>
  <c r="Q75" i="4" s="1"/>
  <c r="K75" i="4" s="1"/>
  <c r="AC75" i="4"/>
  <c r="P75" i="4" s="1"/>
  <c r="J75" i="4" s="1"/>
  <c r="AG113" i="4"/>
  <c r="AF113" i="4"/>
  <c r="AG15" i="4"/>
  <c r="AF15" i="4"/>
  <c r="AD83" i="4"/>
  <c r="Q83" i="4" s="1"/>
  <c r="K83" i="4" s="1"/>
  <c r="AC83" i="4"/>
  <c r="P83" i="4" s="1"/>
  <c r="J83" i="4" s="1"/>
  <c r="AG92" i="4"/>
  <c r="AF92" i="4"/>
  <c r="AG26" i="4"/>
  <c r="AF26" i="4"/>
  <c r="AG145" i="4"/>
  <c r="AF145" i="4"/>
  <c r="AG103" i="4"/>
  <c r="AF103" i="4"/>
  <c r="AG19" i="4"/>
  <c r="AF19" i="4"/>
  <c r="AD144" i="4"/>
  <c r="Q144" i="4" s="1"/>
  <c r="K144" i="4" s="1"/>
  <c r="AC144" i="4"/>
  <c r="P144" i="4" s="1"/>
  <c r="J144" i="4" s="1"/>
  <c r="AF150" i="4"/>
  <c r="AG150" i="4"/>
  <c r="AG177" i="4"/>
  <c r="AF177" i="4"/>
  <c r="AF38" i="4"/>
  <c r="AG38" i="4"/>
  <c r="AG162" i="4"/>
  <c r="AF162" i="4"/>
  <c r="AF79" i="4"/>
  <c r="AG79" i="4"/>
  <c r="AC130" i="4"/>
  <c r="P130" i="4" s="1"/>
  <c r="J130" i="4" s="1"/>
  <c r="AD130" i="4"/>
  <c r="Q130" i="4" s="1"/>
  <c r="K130" i="4" s="1"/>
  <c r="AG8" i="4"/>
  <c r="AF8" i="4"/>
  <c r="AF104" i="4"/>
  <c r="AG104" i="4"/>
  <c r="AF63" i="4"/>
  <c r="AG63" i="4"/>
  <c r="AF74" i="4"/>
  <c r="AG74" i="4"/>
  <c r="AG172" i="4"/>
  <c r="AF172" i="4"/>
  <c r="AD206" i="4"/>
  <c r="Q206" i="4" s="1"/>
  <c r="K206" i="4" s="1"/>
  <c r="AC206" i="4"/>
  <c r="P206" i="4" s="1"/>
  <c r="J206" i="4" s="1"/>
  <c r="AF13" i="4"/>
  <c r="AG13" i="4"/>
  <c r="AF205" i="4"/>
  <c r="AG205" i="4"/>
  <c r="AF46" i="4"/>
  <c r="AG46" i="4"/>
  <c r="AD49" i="4"/>
  <c r="Q49" i="4" s="1"/>
  <c r="K49" i="4" s="1"/>
  <c r="AC49" i="4"/>
  <c r="P49" i="4" s="1"/>
  <c r="J49" i="4" s="1"/>
  <c r="AG78" i="4"/>
  <c r="AF78" i="4"/>
  <c r="AD163" i="4"/>
  <c r="Q163" i="4" s="1"/>
  <c r="K163" i="4" s="1"/>
  <c r="AC163" i="4"/>
  <c r="P163" i="4" s="1"/>
  <c r="J163" i="4" s="1"/>
  <c r="AD21" i="4"/>
  <c r="Q21" i="4" s="1"/>
  <c r="K21" i="4" s="1"/>
  <c r="AC21" i="4"/>
  <c r="P21" i="4" s="1"/>
  <c r="J21" i="4" s="1"/>
  <c r="AG77" i="4"/>
  <c r="AF77" i="4"/>
  <c r="AD107" i="4"/>
  <c r="Q107" i="4" s="1"/>
  <c r="K107" i="4" s="1"/>
  <c r="AC107" i="4"/>
  <c r="P107" i="4" s="1"/>
  <c r="J107" i="4" s="1"/>
  <c r="AD41" i="4"/>
  <c r="Q41" i="4" s="1"/>
  <c r="K41" i="4" s="1"/>
  <c r="AC41" i="4"/>
  <c r="P41" i="4" s="1"/>
  <c r="J41" i="4" s="1"/>
  <c r="AG29" i="4"/>
  <c r="AF29" i="4"/>
  <c r="AD111" i="4"/>
  <c r="Q111" i="4" s="1"/>
  <c r="K111" i="4" s="1"/>
  <c r="AC111" i="4"/>
  <c r="P111" i="4" s="1"/>
  <c r="J111" i="4" s="1"/>
  <c r="AF204" i="4"/>
  <c r="AG204" i="4"/>
  <c r="AG174" i="4"/>
  <c r="AF174" i="4"/>
  <c r="AF55" i="4"/>
  <c r="AG55" i="4"/>
  <c r="AG93" i="4"/>
  <c r="AF93" i="4"/>
  <c r="AD180" i="4"/>
  <c r="Q180" i="4" s="1"/>
  <c r="K180" i="4" s="1"/>
  <c r="AC180" i="4"/>
  <c r="P180" i="4" s="1"/>
  <c r="J180" i="4" s="1"/>
  <c r="AG141" i="4"/>
  <c r="AF141" i="4"/>
  <c r="AG209" i="4"/>
  <c r="AF209" i="4"/>
  <c r="AF175" i="4"/>
  <c r="AG175" i="4"/>
  <c r="AF195" i="4"/>
  <c r="AG195" i="4"/>
  <c r="AC113" i="4"/>
  <c r="P113" i="4" s="1"/>
  <c r="J113" i="4" s="1"/>
  <c r="AD113" i="4"/>
  <c r="Q113" i="4" s="1"/>
  <c r="K113" i="4" s="1"/>
  <c r="AF83" i="4"/>
  <c r="AG83" i="4"/>
  <c r="AD92" i="4"/>
  <c r="Q92" i="4" s="1"/>
  <c r="K92" i="4" s="1"/>
  <c r="AC92" i="4"/>
  <c r="P92" i="4" s="1"/>
  <c r="J92" i="4" s="1"/>
  <c r="AC26" i="4"/>
  <c r="P26" i="4" s="1"/>
  <c r="J26" i="4" s="1"/>
  <c r="AD26" i="4"/>
  <c r="Q26" i="4" s="1"/>
  <c r="K26" i="4" s="1"/>
  <c r="AC145" i="4"/>
  <c r="P145" i="4" s="1"/>
  <c r="J145" i="4" s="1"/>
  <c r="AD145" i="4"/>
  <c r="Q145" i="4" s="1"/>
  <c r="K145" i="4" s="1"/>
  <c r="AD103" i="4"/>
  <c r="Q103" i="4" s="1"/>
  <c r="K103" i="4" s="1"/>
  <c r="AC103" i="4"/>
  <c r="P103" i="4" s="1"/>
  <c r="J103" i="4" s="1"/>
  <c r="AD19" i="4"/>
  <c r="Q19" i="4" s="1"/>
  <c r="K19" i="4" s="1"/>
  <c r="AC19" i="4"/>
  <c r="P19" i="4" s="1"/>
  <c r="J19" i="4" s="1"/>
  <c r="AF144" i="4"/>
  <c r="AG144" i="4"/>
  <c r="AD150" i="4"/>
  <c r="Q150" i="4" s="1"/>
  <c r="K150" i="4" s="1"/>
  <c r="AC150" i="4"/>
  <c r="P150" i="4" s="1"/>
  <c r="J150" i="4" s="1"/>
  <c r="AD177" i="4"/>
  <c r="Q177" i="4" s="1"/>
  <c r="K177" i="4" s="1"/>
  <c r="AC177" i="4"/>
  <c r="P177" i="4" s="1"/>
  <c r="J177" i="4" s="1"/>
  <c r="AC38" i="4"/>
  <c r="P38" i="4" s="1"/>
  <c r="J38" i="4" s="1"/>
  <c r="AD38" i="4"/>
  <c r="Q38" i="4" s="1"/>
  <c r="K38" i="4" s="1"/>
  <c r="AC162" i="4"/>
  <c r="P162" i="4" s="1"/>
  <c r="J162" i="4" s="1"/>
  <c r="AD162" i="4"/>
  <c r="Q162" i="4" s="1"/>
  <c r="K162" i="4" s="1"/>
  <c r="AC79" i="4"/>
  <c r="P79" i="4" s="1"/>
  <c r="J79" i="4" s="1"/>
  <c r="AD79" i="4"/>
  <c r="Q79" i="4" s="1"/>
  <c r="K79" i="4" s="1"/>
  <c r="AG130" i="4"/>
  <c r="AF130" i="4"/>
  <c r="AC8" i="4"/>
  <c r="P8" i="4" s="1"/>
  <c r="J8" i="4" s="1"/>
  <c r="AD8" i="4"/>
  <c r="Q8" i="4" s="1"/>
  <c r="K8" i="4" s="1"/>
  <c r="AD104" i="4"/>
  <c r="Q104" i="4" s="1"/>
  <c r="K104" i="4" s="1"/>
  <c r="AC104" i="4"/>
  <c r="P104" i="4" s="1"/>
  <c r="J104" i="4" s="1"/>
  <c r="AD63" i="4"/>
  <c r="Q63" i="4" s="1"/>
  <c r="K63" i="4" s="1"/>
  <c r="AC63" i="4"/>
  <c r="P63" i="4" s="1"/>
  <c r="J63" i="4" s="1"/>
  <c r="AC74" i="4"/>
  <c r="P74" i="4" s="1"/>
  <c r="J74" i="4" s="1"/>
  <c r="AD74" i="4"/>
  <c r="Q74" i="4" s="1"/>
  <c r="K74" i="4" s="1"/>
  <c r="AC172" i="4"/>
  <c r="P172" i="4" s="1"/>
  <c r="J172" i="4" s="1"/>
  <c r="AD172" i="4"/>
  <c r="Q172" i="4" s="1"/>
  <c r="K172" i="4" s="1"/>
  <c r="AF206" i="4"/>
  <c r="AG206" i="4"/>
  <c r="AD13" i="4"/>
  <c r="Q13" i="4" s="1"/>
  <c r="K13" i="4" s="1"/>
  <c r="AC13" i="4"/>
  <c r="P13" i="4" s="1"/>
  <c r="J13" i="4" s="1"/>
  <c r="AC205" i="4"/>
  <c r="P205" i="4" s="1"/>
  <c r="J205" i="4" s="1"/>
  <c r="AD205" i="4"/>
  <c r="Q205" i="4" s="1"/>
  <c r="K205" i="4" s="1"/>
  <c r="AD46" i="4"/>
  <c r="Q46" i="4" s="1"/>
  <c r="K46" i="4" s="1"/>
  <c r="AC46" i="4"/>
  <c r="P46" i="4" s="1"/>
  <c r="J46" i="4" s="1"/>
  <c r="AF49" i="4"/>
  <c r="AG49" i="4"/>
  <c r="AD78" i="4"/>
  <c r="Q78" i="4" s="1"/>
  <c r="K78" i="4" s="1"/>
  <c r="AC78" i="4"/>
  <c r="P78" i="4" s="1"/>
  <c r="J78" i="4" s="1"/>
  <c r="AG163" i="4"/>
  <c r="AF163" i="4"/>
  <c r="AG21" i="4"/>
  <c r="AF21" i="4"/>
  <c r="AC77" i="4"/>
  <c r="P77" i="4" s="1"/>
  <c r="J77" i="4" s="1"/>
  <c r="AD77" i="4"/>
  <c r="Q77" i="4" s="1"/>
  <c r="K77" i="4" s="1"/>
  <c r="AF107" i="4"/>
  <c r="AG107" i="4"/>
  <c r="AG41" i="4"/>
  <c r="AF41" i="4"/>
  <c r="AD29" i="4"/>
  <c r="Q29" i="4" s="1"/>
  <c r="K29" i="4" s="1"/>
  <c r="AC29" i="4"/>
  <c r="P29" i="4" s="1"/>
  <c r="J29" i="4" s="1"/>
  <c r="AG111" i="4"/>
  <c r="AF111" i="4"/>
  <c r="AC204" i="4"/>
  <c r="P204" i="4" s="1"/>
  <c r="J204" i="4" s="1"/>
  <c r="AD204" i="4"/>
  <c r="Q204" i="4" s="1"/>
  <c r="K204" i="4" s="1"/>
  <c r="AC174" i="4"/>
  <c r="P174" i="4" s="1"/>
  <c r="J174" i="4" s="1"/>
  <c r="AD174" i="4"/>
  <c r="Q174" i="4" s="1"/>
  <c r="K174" i="4" s="1"/>
  <c r="AC55" i="4"/>
  <c r="P55" i="4" s="1"/>
  <c r="J55" i="4" s="1"/>
  <c r="AD55" i="4"/>
  <c r="Q55" i="4" s="1"/>
  <c r="K55" i="4" s="1"/>
  <c r="AC93" i="4"/>
  <c r="P93" i="4" s="1"/>
  <c r="J93" i="4" s="1"/>
  <c r="AD93" i="4"/>
  <c r="Q93" i="4" s="1"/>
  <c r="K93" i="4" s="1"/>
  <c r="AG180" i="4"/>
  <c r="AF180" i="4"/>
  <c r="AC141" i="4"/>
  <c r="P141" i="4" s="1"/>
  <c r="J141" i="4" s="1"/>
  <c r="AD141" i="4"/>
  <c r="Q141" i="4" s="1"/>
  <c r="K141" i="4" s="1"/>
  <c r="AC209" i="4"/>
  <c r="P209" i="4" s="1"/>
  <c r="J209" i="4" s="1"/>
  <c r="AD209" i="4"/>
  <c r="Q209" i="4" s="1"/>
  <c r="K209" i="4" s="1"/>
  <c r="C20" i="4" l="1"/>
  <c r="C19" i="4"/>
  <c r="C21" i="4"/>
</calcChain>
</file>

<file path=xl/comments1.xml><?xml version="1.0" encoding="utf-8"?>
<comments xmlns="http://schemas.openxmlformats.org/spreadsheetml/2006/main">
  <authors>
    <author>Anthony Fagnani</author>
  </authors>
  <commentList>
    <comment ref="B49" authorId="0">
      <text>
        <r>
          <rPr>
            <sz val="9"/>
            <color indexed="81"/>
            <rFont val="Tahoma"/>
            <family val="2"/>
          </rPr>
          <t>Maximum switching frequency to avoid pulse skipping.</t>
        </r>
      </text>
    </comment>
    <comment ref="B59" authorId="0">
      <text>
        <r>
          <rPr>
            <sz val="9"/>
            <color indexed="81"/>
            <rFont val="Tahoma"/>
            <family val="2"/>
          </rPr>
          <t>Represent inductor current ripple percentage of output current.</t>
        </r>
      </text>
    </comment>
    <comment ref="B76" authorId="0">
      <text>
        <r>
          <rPr>
            <sz val="9"/>
            <color indexed="81"/>
            <rFont val="Tahoma"/>
            <family val="2"/>
          </rPr>
          <t>Ceramic capacitors must be derated base on AC voltage and DC bias. This is required for correct compensation calculations.</t>
        </r>
      </text>
    </comment>
    <comment ref="B136" authorId="0">
      <text>
        <r>
          <rPr>
            <sz val="9"/>
            <color indexed="81"/>
            <rFont val="Tahoma"/>
            <family val="2"/>
          </rPr>
          <t>Cpole value to cancel the ESR zero of the selected output capacitor.</t>
        </r>
      </text>
    </comment>
    <comment ref="B137" authorId="0">
      <text>
        <r>
          <rPr>
            <sz val="9"/>
            <color indexed="81"/>
            <rFont val="Tahoma"/>
            <family val="2"/>
          </rPr>
          <t>Cpole value for high frequency roll off.</t>
        </r>
      </text>
    </comment>
  </commentList>
</comments>
</file>

<file path=xl/comments2.xml><?xml version="1.0" encoding="utf-8"?>
<comments xmlns="http://schemas.openxmlformats.org/spreadsheetml/2006/main">
  <authors>
    <author>Anthony Fagnani</author>
  </authors>
  <commentList>
    <comment ref="AB6" authorId="0">
      <text>
        <r>
          <rPr>
            <b/>
            <sz val="9"/>
            <color indexed="81"/>
            <rFont val="Tahoma"/>
            <family val="2"/>
          </rPr>
          <t>Anthony Fagnani:</t>
        </r>
        <r>
          <rPr>
            <sz val="9"/>
            <color indexed="81"/>
            <rFont val="Tahoma"/>
            <family val="2"/>
          </rPr>
          <t xml:space="preserve">
Needs to be checked</t>
        </r>
      </text>
    </comment>
    <comment ref="AB11" authorId="0">
      <text>
        <r>
          <rPr>
            <b/>
            <sz val="9"/>
            <color indexed="81"/>
            <rFont val="Tahoma"/>
            <family val="2"/>
          </rPr>
          <t>Anthony Fagnani:</t>
        </r>
        <r>
          <rPr>
            <sz val="9"/>
            <color indexed="81"/>
            <rFont val="Tahoma"/>
            <family val="2"/>
          </rPr>
          <t xml:space="preserve">
Needs to be checked</t>
        </r>
      </text>
    </comment>
    <comment ref="AB12" authorId="0">
      <text>
        <r>
          <rPr>
            <b/>
            <sz val="9"/>
            <color indexed="81"/>
            <rFont val="Tahoma"/>
            <family val="2"/>
          </rPr>
          <t>Anthony Fagnani:</t>
        </r>
        <r>
          <rPr>
            <sz val="9"/>
            <color indexed="81"/>
            <rFont val="Tahoma"/>
            <family val="2"/>
          </rPr>
          <t xml:space="preserve">
Needs to be checked</t>
        </r>
      </text>
    </comment>
    <comment ref="AB13" authorId="0">
      <text>
        <r>
          <rPr>
            <b/>
            <sz val="9"/>
            <color indexed="81"/>
            <rFont val="Tahoma"/>
            <family val="2"/>
          </rPr>
          <t>Anthony Fagnani:</t>
        </r>
        <r>
          <rPr>
            <sz val="9"/>
            <color indexed="81"/>
            <rFont val="Tahoma"/>
            <family val="2"/>
          </rPr>
          <t xml:space="preserve">
Needs to be checked</t>
        </r>
      </text>
    </comment>
    <comment ref="AB15" authorId="0">
      <text>
        <r>
          <rPr>
            <b/>
            <sz val="9"/>
            <color indexed="81"/>
            <rFont val="Tahoma"/>
            <family val="2"/>
          </rPr>
          <t>Anthony Fagnani:</t>
        </r>
        <r>
          <rPr>
            <sz val="9"/>
            <color indexed="81"/>
            <rFont val="Tahoma"/>
            <family val="2"/>
          </rPr>
          <t xml:space="preserve">
Needs to be checked</t>
        </r>
      </text>
    </comment>
  </commentList>
</comments>
</file>

<file path=xl/sharedStrings.xml><?xml version="1.0" encoding="utf-8"?>
<sst xmlns="http://schemas.openxmlformats.org/spreadsheetml/2006/main" count="569" uniqueCount="375">
  <si>
    <t>gmea</t>
  </si>
  <si>
    <t>gmps</t>
  </si>
  <si>
    <t>A/V</t>
  </si>
  <si>
    <t>Vref</t>
  </si>
  <si>
    <t>A</t>
  </si>
  <si>
    <t>V</t>
  </si>
  <si>
    <t>%</t>
  </si>
  <si>
    <t>Resr has to be less than</t>
  </si>
  <si>
    <t>L chosen</t>
  </si>
  <si>
    <t>Units</t>
  </si>
  <si>
    <t>Value</t>
  </si>
  <si>
    <t>Vena start</t>
  </si>
  <si>
    <t>Compensation</t>
  </si>
  <si>
    <t>Rt resistor value chosen</t>
  </si>
  <si>
    <t>kHz</t>
  </si>
  <si>
    <t>Iq non switching</t>
  </si>
  <si>
    <t>ton min</t>
  </si>
  <si>
    <t>Rdc</t>
  </si>
  <si>
    <t>Fm</t>
  </si>
  <si>
    <t>Calculated Cells</t>
  </si>
  <si>
    <t>Constants Cells</t>
  </si>
  <si>
    <t xml:space="preserve">Icorms (Output rms ripple current) </t>
  </si>
  <si>
    <t>Rcomp</t>
  </si>
  <si>
    <t>Rcomp chosen</t>
  </si>
  <si>
    <t>Ccomp</t>
  </si>
  <si>
    <t>Ccomp chosen</t>
  </si>
  <si>
    <t>Cpole chosen</t>
  </si>
  <si>
    <t>Rhs chosen</t>
  </si>
  <si>
    <t>fsw max range</t>
  </si>
  <si>
    <t>fsw min range</t>
  </si>
  <si>
    <t>fsw skip</t>
  </si>
  <si>
    <t>Rhs</t>
  </si>
  <si>
    <t>R</t>
  </si>
  <si>
    <t>freq</t>
  </si>
  <si>
    <t>s=2*pi*freq*i</t>
  </si>
  <si>
    <t>Co</t>
  </si>
  <si>
    <t>Rc</t>
  </si>
  <si>
    <t>Lo</t>
  </si>
  <si>
    <t>Vin</t>
  </si>
  <si>
    <t>Vout</t>
  </si>
  <si>
    <t>wo</t>
  </si>
  <si>
    <t>esr zero</t>
  </si>
  <si>
    <t>Ri</t>
  </si>
  <si>
    <t>fsw</t>
  </si>
  <si>
    <t>Sn</t>
  </si>
  <si>
    <t>Se</t>
  </si>
  <si>
    <t>Aol</t>
  </si>
  <si>
    <t>BW</t>
  </si>
  <si>
    <t>Cpole</t>
  </si>
  <si>
    <t>Gain-dB</t>
  </si>
  <si>
    <t>Phase Degrees</t>
  </si>
  <si>
    <t>Compensation Complex</t>
  </si>
  <si>
    <t>Comp Gain</t>
  </si>
  <si>
    <t>Comp Phase</t>
  </si>
  <si>
    <t>Gain Phase</t>
  </si>
  <si>
    <t>Co err amp</t>
  </si>
  <si>
    <t>Ro err amp</t>
  </si>
  <si>
    <t>Hd</t>
  </si>
  <si>
    <t>Ddcm</t>
  </si>
  <si>
    <t>a1</t>
  </si>
  <si>
    <t>a2</t>
  </si>
  <si>
    <t>wz1</t>
  </si>
  <si>
    <t>C1</t>
  </si>
  <si>
    <t>C0</t>
  </si>
  <si>
    <t>D0</t>
  </si>
  <si>
    <t>D1</t>
  </si>
  <si>
    <t>D2</t>
  </si>
  <si>
    <t>Overall ccm</t>
  </si>
  <si>
    <t>power stage gain</t>
  </si>
  <si>
    <t>power stage phase</t>
  </si>
  <si>
    <t>overall gain</t>
  </si>
  <si>
    <t>overall phase</t>
  </si>
  <si>
    <t>Overall dcm</t>
  </si>
  <si>
    <t>DCM &gt;= 1</t>
  </si>
  <si>
    <t>Disclaimer:</t>
  </si>
  <si>
    <t>Important:  Analysis Toolpak is needed to run small signal worksheet.   Go to Tools&gt;Add-Ins&gt; select Analysis Toolpak</t>
  </si>
  <si>
    <t>Ioutmin</t>
  </si>
  <si>
    <t>Ioutmax</t>
  </si>
  <si>
    <t>Iout (for plot)</t>
  </si>
  <si>
    <t>I1 (Enable current - 50mV)</t>
  </si>
  <si>
    <t>Resr</t>
  </si>
  <si>
    <t>Ruvlo1 chosen</t>
  </si>
  <si>
    <t>Ruvlo2 chosen</t>
  </si>
  <si>
    <t>I current limit</t>
  </si>
  <si>
    <t>W</t>
  </si>
  <si>
    <t>Vout with selected divider</t>
  </si>
  <si>
    <t>VSTOP calc</t>
  </si>
  <si>
    <t>VSTART calc</t>
  </si>
  <si>
    <t>Hide Sheet</t>
  </si>
  <si>
    <t>Std. Resistors</t>
  </si>
  <si>
    <t>Capacitors</t>
  </si>
  <si>
    <t>Enter resistor value</t>
  </si>
  <si>
    <t>E6</t>
  </si>
  <si>
    <t>E96</t>
  </si>
  <si>
    <t>Cap value</t>
  </si>
  <si>
    <t>Closest E6 Value</t>
  </si>
  <si>
    <t>Closest E12 Value</t>
  </si>
  <si>
    <t>C values up to 10nF</t>
  </si>
  <si>
    <t>Closest E24 Value</t>
  </si>
  <si>
    <t>Closest E48 Value</t>
  </si>
  <si>
    <t>Closest E96 Value</t>
  </si>
  <si>
    <t>E12</t>
  </si>
  <si>
    <t>C values greater than 10nF</t>
  </si>
  <si>
    <t>E24</t>
  </si>
  <si>
    <t>E48</t>
  </si>
  <si>
    <t>Rcomp and nearest STD 1% value</t>
  </si>
  <si>
    <t>Rhs (top of voltage divider) and nearest STD 1% value</t>
  </si>
  <si>
    <t>Ruvlo1 (top resistor in the voltage divider) and nearest STD 1% value</t>
  </si>
  <si>
    <t>Ruvlo2 (bottom resistor in the voltage divider) and nearest STD 1% value</t>
  </si>
  <si>
    <t>Ω</t>
  </si>
  <si>
    <t>kΩ</t>
  </si>
  <si>
    <t>Cin min (for target Vin ripple)</t>
  </si>
  <si>
    <t>I1</t>
  </si>
  <si>
    <t>Ihyst</t>
  </si>
  <si>
    <t>Ihysteresis</t>
  </si>
  <si>
    <t>fsw max</t>
  </si>
  <si>
    <t>Part Number</t>
  </si>
  <si>
    <t>Parts supported</t>
  </si>
  <si>
    <t>Vdev min</t>
  </si>
  <si>
    <t>Vdev max</t>
  </si>
  <si>
    <t>Vmin device</t>
  </si>
  <si>
    <t>Vmax device</t>
  </si>
  <si>
    <t>User-input Cells</t>
  </si>
  <si>
    <t>All worksheets contain yellow user-input cells, light blue calculated cells, and light gray constants cells.</t>
  </si>
  <si>
    <t>PWR Number</t>
  </si>
  <si>
    <t>deg C/W</t>
  </si>
  <si>
    <t>Rt</t>
  </si>
  <si>
    <t>Iss</t>
  </si>
  <si>
    <t>µF</t>
  </si>
  <si>
    <t>mΩ</t>
  </si>
  <si>
    <t>Rdson</t>
  </si>
  <si>
    <t>Vin nom</t>
  </si>
  <si>
    <t>Vin max</t>
  </si>
  <si>
    <t>Vin min</t>
  </si>
  <si>
    <t>ns</t>
  </si>
  <si>
    <t>µH</t>
  </si>
  <si>
    <t>pF</t>
  </si>
  <si>
    <t>mV</t>
  </si>
  <si>
    <t>nF</t>
  </si>
  <si>
    <t>ms</t>
  </si>
  <si>
    <t>Soft start time</t>
  </si>
  <si>
    <t>Soft start capacitor</t>
  </si>
  <si>
    <t>Selected soft start capacitor</t>
  </si>
  <si>
    <t>µA</t>
  </si>
  <si>
    <t>Ven max</t>
  </si>
  <si>
    <t>VEN max</t>
  </si>
  <si>
    <t>This product is designed as an aid for customers of Texas Instruments.  No warranties, either express or implied, with respect to this software or its fitness for any particular purpose is made by Texas Instruments or the author.  The software is licensed solely on an "as is" basis.  The entire risk as to its quality and performance is with the user.</t>
  </si>
  <si>
    <t>Theta JA Board</t>
  </si>
  <si>
    <t>Ta max</t>
  </si>
  <si>
    <t>deg C</t>
  </si>
  <si>
    <t>Pmax IC</t>
  </si>
  <si>
    <t>Device constants</t>
  </si>
  <si>
    <t>Set output voltage</t>
  </si>
  <si>
    <t>Select output capacitor(s)</t>
  </si>
  <si>
    <t>Select output inductor</t>
  </si>
  <si>
    <t>Select switching frequency</t>
  </si>
  <si>
    <t>Input power supply specifications</t>
  </si>
  <si>
    <t>Select a device from the dropdown menu</t>
  </si>
  <si>
    <t>Power stage</t>
  </si>
  <si>
    <t>Compensate error amplifier</t>
  </si>
  <si>
    <t>Select input capacitor(s)</t>
  </si>
  <si>
    <t>Output voltage</t>
  </si>
  <si>
    <t>Output voltage ripple (Vripple, 0.5% default)</t>
  </si>
  <si>
    <t>Transient response current step</t>
  </si>
  <si>
    <t>Max output current</t>
  </si>
  <si>
    <t>Min output current</t>
  </si>
  <si>
    <t>UVLO start voltage</t>
  </si>
  <si>
    <t>UVLO stop voltage</t>
  </si>
  <si>
    <t>Target Vin ripple (0.5% Vin nom default)</t>
  </si>
  <si>
    <t>Estimate IC power dissipation (assumes 25 deg C ambient)</t>
  </si>
  <si>
    <t>Iripple (Vin max, Vin nom, Vin min)</t>
  </si>
  <si>
    <t>Ilrms (Vin max, Vin nom, Vin min)</t>
  </si>
  <si>
    <t>Ilpeak  (Vin max, Vin nom, Vin min)</t>
  </si>
  <si>
    <t>Pcond (Vin nom, Vin max, Vin min)</t>
  </si>
  <si>
    <t>Psw (Vin nom, Vin max, Vin min)</t>
  </si>
  <si>
    <t>Pgd (Vin nom, Vin max, Vin min)</t>
  </si>
  <si>
    <t>Pq (Vin nom, Vin max, Vin min)</t>
  </si>
  <si>
    <t>Ptot (Vin nom, Vin max, Vin min)</t>
  </si>
  <si>
    <t>fsw calculated with resistor selected resistor</t>
  </si>
  <si>
    <t>Rt resistor value and nearest STD 1% value</t>
  </si>
  <si>
    <t>Rls (bottom of voltage divider) and nearest STD 1% value</t>
  </si>
  <si>
    <t>Values for plotting</t>
  </si>
  <si>
    <t>From design equations</t>
  </si>
  <si>
    <t>CIN RD</t>
  </si>
  <si>
    <t>COUT RD</t>
  </si>
  <si>
    <t>This worksheet is designed for use with Microsoft Excel 2002 or later.  It is intended to assist circuit designers in calculations.  Additional worksheets may be added as they are completed.</t>
  </si>
  <si>
    <t>TBD</t>
  </si>
  <si>
    <t>TPS54478</t>
  </si>
  <si>
    <t>Vena stop</t>
  </si>
  <si>
    <t>Rls</t>
  </si>
  <si>
    <t>Rdson_hs</t>
  </si>
  <si>
    <t>ton min max</t>
  </si>
  <si>
    <t>Rdson_ls</t>
  </si>
  <si>
    <t>Iomin for positive IL operation (Vin max, Vin nom, Vin min)</t>
  </si>
  <si>
    <t>Ilvalley no load (Vin max, Vin nom, Vin min)</t>
  </si>
  <si>
    <t>Vena_start</t>
  </si>
  <si>
    <t>Vena_stop</t>
  </si>
  <si>
    <t>µS</t>
  </si>
  <si>
    <t>Cff chosen</t>
  </si>
  <si>
    <t>Cff</t>
  </si>
  <si>
    <t>Select UVLO resistors (pins in parallel)</t>
  </si>
  <si>
    <t>Rhs FB</t>
  </si>
  <si>
    <t>Rls FB</t>
  </si>
  <si>
    <t>Cff Complex</t>
  </si>
  <si>
    <t>EA BW</t>
  </si>
  <si>
    <t>Sf</t>
  </si>
  <si>
    <t>Se to Sn ratio</t>
  </si>
  <si>
    <t>FCCM</t>
  </si>
  <si>
    <t>TPS54824</t>
  </si>
  <si>
    <t>Estimated on time (with Vin max and no load)</t>
  </si>
  <si>
    <t>TPS54116-Q1</t>
  </si>
  <si>
    <t>S</t>
  </si>
  <si>
    <t>TPS54623</t>
  </si>
  <si>
    <t>TPS54620</t>
  </si>
  <si>
    <t>TPS54320</t>
  </si>
  <si>
    <t>TPS54622</t>
  </si>
  <si>
    <t>Desired Vout</t>
  </si>
  <si>
    <t>Volts</t>
  </si>
  <si>
    <t>Tolerance</t>
  </si>
  <si>
    <t>Max Value</t>
  </si>
  <si>
    <t>Min Value</t>
  </si>
  <si>
    <t>Upper Divider Resistor</t>
  </si>
  <si>
    <t>Lower Divider Resistor</t>
  </si>
  <si>
    <t>Error</t>
  </si>
  <si>
    <t>Nominal output voltage:</t>
  </si>
  <si>
    <t>Minimum output voltage</t>
  </si>
  <si>
    <t>Maximum output voltage</t>
  </si>
  <si>
    <r>
      <t xml:space="preserve">Value in </t>
    </r>
    <r>
      <rPr>
        <b/>
        <sz val="11"/>
        <color theme="1"/>
        <rFont val="Arial"/>
        <family val="2"/>
      </rPr>
      <t>Ω</t>
    </r>
  </si>
  <si>
    <t>VFB Reference</t>
  </si>
  <si>
    <t>Vref tol</t>
  </si>
  <si>
    <t>Line and Load Regulation</t>
  </si>
  <si>
    <t>Line Load Reg</t>
  </si>
  <si>
    <t>Vin ripple (Vin max, Vin nom, Vin min)</t>
  </si>
  <si>
    <t>Icirms (Input rms ripple current with Vin min)</t>
  </si>
  <si>
    <t>Cin chosen (Use derated value)</t>
  </si>
  <si>
    <t>Co derating based on Vout bias, AC voltage and temperature</t>
  </si>
  <si>
    <t>Derate capacitance of ceramic capacitors</t>
  </si>
  <si>
    <t>Hz</t>
  </si>
  <si>
    <t>H</t>
  </si>
  <si>
    <t>F</t>
  </si>
  <si>
    <t>Cpole at 10x fco and nearest STD value</t>
  </si>
  <si>
    <t>Cpole at fsw/2 and nearest STD value</t>
  </si>
  <si>
    <t>fpole ps</t>
  </si>
  <si>
    <t>fzero ESR</t>
  </si>
  <si>
    <t>Ccomp at ps fpole and nearest STD value</t>
  </si>
  <si>
    <t>Cpole at ESR fzero and nearest STD value</t>
  </si>
  <si>
    <t>fzero Cff</t>
  </si>
  <si>
    <t>fpole Cff</t>
  </si>
  <si>
    <t>Vstart calc</t>
  </si>
  <si>
    <t>Vstop calc</t>
  </si>
  <si>
    <t>TPS54821</t>
  </si>
  <si>
    <t>fco</t>
  </si>
  <si>
    <t>Phase Margin</t>
  </si>
  <si>
    <t>Gain Margin</t>
  </si>
  <si>
    <t>deg</t>
  </si>
  <si>
    <t>dB</t>
  </si>
  <si>
    <t>find gain &gt; 0</t>
  </si>
  <si>
    <t>find phase &gt; 0</t>
  </si>
  <si>
    <t>Reference Schematic</t>
  </si>
  <si>
    <t>0.1 to 0.4 recommended</t>
  </si>
  <si>
    <t>Lo using application Io</t>
  </si>
  <si>
    <t>Io device</t>
  </si>
  <si>
    <t>Idev</t>
  </si>
  <si>
    <t>Comments</t>
  </si>
  <si>
    <t>Kind - inductor ripple current ratio</t>
  </si>
  <si>
    <t>Lomax (10% ripple based on device max Iout)</t>
  </si>
  <si>
    <t>Transient response voltage change (4% default)</t>
  </si>
  <si>
    <t>Transient response voltage change</t>
  </si>
  <si>
    <t>fzero comp</t>
  </si>
  <si>
    <t>fpole comp</t>
  </si>
  <si>
    <t>Display Power Stage?</t>
  </si>
  <si>
    <t>Display Compensation?</t>
  </si>
  <si>
    <t>NO</t>
  </si>
  <si>
    <t>YES</t>
  </si>
  <si>
    <t>TPS54020 (ILIM=NC)</t>
  </si>
  <si>
    <t>TPS54020 (ILIM=RTN)</t>
  </si>
  <si>
    <t>TPS54020 (ILIM=499kΩ)</t>
  </si>
  <si>
    <t>Estimated on time (with Vin max and min load)</t>
  </si>
  <si>
    <t>Estimated on time (with Vin max and max load)</t>
  </si>
  <si>
    <t>Design Calculator Tool</t>
  </si>
  <si>
    <t>The calculator models the small signal gain and phase for the final design.</t>
  </si>
  <si>
    <t>This tool supports peak current mode control buck converters</t>
  </si>
  <si>
    <t>The calculator includes power stage design in CCM.</t>
  </si>
  <si>
    <t>Note: there is no password to unlock parts of this excel spreadsheet for editing.</t>
  </si>
  <si>
    <t>Peak Current-Mode Control Buck Converter CCM Design Equations</t>
  </si>
  <si>
    <t>fco1 between ps pole and zero (DS Equation)</t>
  </si>
  <si>
    <t>fco2 between ps pole and fsw/2 (DS Equation)</t>
  </si>
  <si>
    <t>Crossover Frequency Target (fco)</t>
  </si>
  <si>
    <t>Ccomp at 1/10 fco and nearest STD value</t>
  </si>
  <si>
    <t>fco estimation</t>
  </si>
  <si>
    <t>Co has to be greater than Co1 (transient)</t>
  </si>
  <si>
    <t>Co has to be greater than Co2 (ripple)</t>
  </si>
  <si>
    <t>TPS54418</t>
  </si>
  <si>
    <t>TPS54424</t>
  </si>
  <si>
    <t>mc</t>
  </si>
  <si>
    <t>wp</t>
  </si>
  <si>
    <t>Ro</t>
  </si>
  <si>
    <t>wp2</t>
  </si>
  <si>
    <t>q_2</t>
  </si>
  <si>
    <t>w_2</t>
  </si>
  <si>
    <t>k_2</t>
  </si>
  <si>
    <t>Re</t>
  </si>
  <si>
    <t>Ce</t>
  </si>
  <si>
    <t>Ze(s)</t>
  </si>
  <si>
    <t>Zcr(s)</t>
  </si>
  <si>
    <t>Zl(s)</t>
  </si>
  <si>
    <t>DCM Peak CMC complex</t>
  </si>
  <si>
    <t>OLD CCM Peak CMC complex</t>
  </si>
  <si>
    <t>Phase New Equivalent Circuit</t>
  </si>
  <si>
    <t>Gain New Equivalent Circuit</t>
  </si>
  <si>
    <t>Vo(s)/Vc(s) New Equivalent Circuit</t>
  </si>
  <si>
    <t>With Vin_max</t>
  </si>
  <si>
    <t>Ze(s) Vin_max</t>
  </si>
  <si>
    <t>Vo(s)/Vc(s) New Equivalent Circuit Vin_max</t>
  </si>
  <si>
    <t>Gain New Equivalent Circuit Vin_max</t>
  </si>
  <si>
    <t>Phase New Equivalent Circuit Vin_max</t>
  </si>
  <si>
    <t>Zcer(s)</t>
  </si>
  <si>
    <t>Zload(s)</t>
  </si>
  <si>
    <t>Zesr(s)</t>
  </si>
  <si>
    <t>Co2</t>
  </si>
  <si>
    <t>Resr_2</t>
  </si>
  <si>
    <t>Co ceramic chosen</t>
  </si>
  <si>
    <t>Co ceramic final value based on derating</t>
  </si>
  <si>
    <t>Resr ceramic chosen</t>
  </si>
  <si>
    <t>Resr high esr cap</t>
  </si>
  <si>
    <r>
      <t xml:space="preserve">Co high esr cap chosen </t>
    </r>
    <r>
      <rPr>
        <b/>
        <sz val="10"/>
        <rFont val="Arial"/>
        <family val="2"/>
      </rPr>
      <t>(if not used, set equal to 0.1)</t>
    </r>
  </si>
  <si>
    <t>Anticipated type 3 ea phase</t>
  </si>
  <si>
    <t>Anticipated type 2 ea phase</t>
  </si>
  <si>
    <t>find phase &gt;65</t>
  </si>
  <si>
    <t>Select UVLO resistors</t>
  </si>
  <si>
    <t>Updated:</t>
  </si>
  <si>
    <t>TPS54A24</t>
  </si>
  <si>
    <t>Istart</t>
  </si>
  <si>
    <t>18.10.09</t>
  </si>
  <si>
    <t>Made Cff, Cpole fsw, and Cpole 10xfco round down.</t>
  </si>
  <si>
    <t>Notes:</t>
  </si>
  <si>
    <t>If I use the value in column J it rounds down</t>
  </si>
  <si>
    <t>If I use the value in column K it rounds up</t>
  </si>
  <si>
    <t>18.10.31</t>
  </si>
  <si>
    <t>Changed fco target from 1/5th fsw to 1/7th fsw</t>
  </si>
  <si>
    <t>fco3 target using loop model in 'Small Signal' tab</t>
  </si>
  <si>
    <t>18.11.27</t>
  </si>
  <si>
    <t>http://www.ti.com/corp/docs/legal/important-notice.shtml</t>
  </si>
  <si>
    <t>19.01.22</t>
  </si>
  <si>
    <t>Added link to TI important notice</t>
  </si>
  <si>
    <t>Changed TPS54622/3 slope comp to 9</t>
  </si>
  <si>
    <t>19.03.07</t>
  </si>
  <si>
    <t>Fixed ton calculation. Rdson_ls was not being multiplied by Iout.</t>
  </si>
  <si>
    <t>TPS54678</t>
  </si>
  <si>
    <t>19.03.26</t>
  </si>
  <si>
    <t>Added TPS54678, slope compensation may not be correct.</t>
  </si>
  <si>
    <t>fzero esr (Co1)</t>
  </si>
  <si>
    <t>fzero esr (Co2)</t>
  </si>
  <si>
    <t>19.03.27</t>
  </si>
  <si>
    <t>Added calculation for ESR zero of Co2 in Small Signal Tab</t>
  </si>
  <si>
    <t>19.04.09</t>
  </si>
  <si>
    <t>Adjusted Cff calc to target zero at 1/5th fsw (previously 1/6th fsw)</t>
  </si>
  <si>
    <t>I current limit reverse</t>
  </si>
  <si>
    <t>I current limit reverse (min)</t>
  </si>
  <si>
    <t>19.05.01</t>
  </si>
  <si>
    <t>Added reverse current limit check</t>
  </si>
  <si>
    <t>19.06.11</t>
  </si>
  <si>
    <t>Adjusted TPS54A24 min on-time to 145 ns</t>
  </si>
  <si>
    <t>Co has to be greater than Co3 (stability)</t>
  </si>
  <si>
    <t>19.06.12</t>
  </si>
  <si>
    <t>Added equation to ensure a minimum amount of capacitance to make it easy to compensate</t>
  </si>
  <si>
    <t>For more optimized transient response, target fco3</t>
  </si>
  <si>
    <t>See Small Signal sheet to verify frequency response</t>
  </si>
  <si>
    <t>For a conservative compensation design, 
target the minimum of fco1 or fco2</t>
  </si>
  <si>
    <t>Cff at fsw/5 and nearest STD value</t>
  </si>
  <si>
    <t>19.09.11</t>
  </si>
  <si>
    <t>Added 1/1.1 factor to max fsw calculation to add some margin for tolerance of the fsw</t>
  </si>
  <si>
    <t>TPS54521</t>
  </si>
  <si>
    <t>19.12.13</t>
  </si>
  <si>
    <t>Added support for TPS54521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</si>
</sst>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00"/>
    <numFmt numFmtId="166" formatCode="0.000E+00"/>
    <numFmt numFmtId="167" formatCode="0.0000"/>
    <numFmt numFmtId="168" formatCode="0.0%"/>
    <numFmt numFmtId="169" formatCode="0.00000000000000"/>
  </numFmts>
  <fonts count="31" x14ac:knownFonts="1">
    <font>
      <sz val="10"/>
      <name val="Arial"/>
    </font>
    <font>
      <sz val="10"/>
      <name val="Arial"/>
      <family val="2"/>
    </font>
    <font>
      <sz val="8"/>
      <name val="Arial"/>
      <family val="2"/>
    </font>
    <font>
      <b/>
      <sz val="10"/>
      <name val="Arial"/>
      <family val="2"/>
    </font>
    <font>
      <sz val="10"/>
      <name val="Arial"/>
      <family val="2"/>
    </font>
    <font>
      <sz val="10"/>
      <color indexed="8"/>
      <name val="Arial"/>
      <family val="2"/>
    </font>
    <font>
      <b/>
      <sz val="24"/>
      <name val="Arial"/>
      <family val="2"/>
    </font>
    <font>
      <b/>
      <sz val="12"/>
      <name val="Arial"/>
      <family val="2"/>
    </font>
    <font>
      <sz val="10"/>
      <color indexed="10"/>
      <name val="Arial"/>
      <family val="2"/>
    </font>
    <font>
      <sz val="10"/>
      <color indexed="9"/>
      <name val="Arial"/>
      <family val="2"/>
    </font>
    <font>
      <b/>
      <sz val="10"/>
      <color indexed="8"/>
      <name val="Arial"/>
      <family val="2"/>
    </font>
    <font>
      <b/>
      <sz val="14"/>
      <color indexed="10"/>
      <name val="Arial"/>
      <family val="2"/>
    </font>
    <font>
      <sz val="14"/>
      <name val="Arial"/>
      <family val="2"/>
    </font>
    <font>
      <b/>
      <sz val="10"/>
      <color indexed="12"/>
      <name val="Arial"/>
      <family val="2"/>
    </font>
    <font>
      <b/>
      <sz val="10"/>
      <color indexed="17"/>
      <name val="Arial"/>
      <family val="2"/>
    </font>
    <font>
      <b/>
      <sz val="10"/>
      <color indexed="9"/>
      <name val="Arial"/>
      <family val="2"/>
    </font>
    <font>
      <b/>
      <sz val="8"/>
      <name val="Arial"/>
      <family val="2"/>
    </font>
    <font>
      <sz val="8"/>
      <name val="Verdana"/>
      <family val="2"/>
    </font>
    <font>
      <b/>
      <sz val="10"/>
      <color indexed="10"/>
      <name val="Arial"/>
      <family val="2"/>
    </font>
    <font>
      <sz val="10"/>
      <color indexed="22"/>
      <name val="Arial"/>
      <family val="2"/>
    </font>
    <font>
      <b/>
      <sz val="11"/>
      <name val="Arial"/>
      <family val="2"/>
    </font>
    <font>
      <b/>
      <i/>
      <sz val="10"/>
      <name val="Arial"/>
      <family val="2"/>
    </font>
    <font>
      <sz val="9"/>
      <color indexed="81"/>
      <name val="Tahoma"/>
      <family val="2"/>
    </font>
    <font>
      <b/>
      <sz val="14"/>
      <name val="Arial"/>
      <family val="2"/>
    </font>
    <font>
      <sz val="10"/>
      <name val="Arial"/>
      <family val="2"/>
    </font>
    <font>
      <sz val="11"/>
      <color theme="1"/>
      <name val="Calibri"/>
      <family val="2"/>
      <scheme val="minor"/>
    </font>
    <font>
      <sz val="10"/>
      <color theme="1"/>
      <name val="Arial"/>
      <family val="2"/>
    </font>
    <font>
      <sz val="10"/>
      <color theme="0"/>
      <name val="Arial"/>
      <family val="2"/>
    </font>
    <font>
      <b/>
      <sz val="9"/>
      <color indexed="81"/>
      <name val="Tahoma"/>
      <family val="2"/>
    </font>
    <font>
      <b/>
      <sz val="11"/>
      <color theme="1"/>
      <name val="Arial"/>
      <family val="2"/>
    </font>
    <font>
      <u/>
      <sz val="10"/>
      <color theme="10"/>
      <name val="Arial"/>
    </font>
  </fonts>
  <fills count="16">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22"/>
        <bgColor indexed="64"/>
      </patternFill>
    </fill>
    <fill>
      <patternFill patternType="solid">
        <fgColor indexed="34"/>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31"/>
        <bgColor indexed="64"/>
      </patternFill>
    </fill>
    <fill>
      <patternFill patternType="solid">
        <fgColor indexed="26"/>
        <bgColor indexed="64"/>
      </patternFill>
    </fill>
    <fill>
      <patternFill patternType="solid">
        <fgColor rgb="FF00FFFF"/>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9"/>
      </left>
      <right style="medium">
        <color indexed="9"/>
      </right>
      <top style="medium">
        <color indexed="9"/>
      </top>
      <bottom/>
      <diagonal/>
    </border>
    <border>
      <left style="medium">
        <color indexed="9"/>
      </left>
      <right style="medium">
        <color indexed="9"/>
      </right>
      <top/>
      <bottom/>
      <diagonal/>
    </border>
    <border>
      <left style="medium">
        <color indexed="9"/>
      </left>
      <right style="medium">
        <color indexed="9"/>
      </right>
      <top/>
      <bottom style="medium">
        <color indexed="9"/>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9"/>
      </right>
      <top/>
      <bottom/>
      <diagonal/>
    </border>
    <border>
      <left style="medium">
        <color indexed="9"/>
      </left>
      <right/>
      <top/>
      <bottom/>
      <diagonal/>
    </border>
    <border>
      <left style="medium">
        <color indexed="9"/>
      </left>
      <right/>
      <top style="medium">
        <color indexed="9"/>
      </top>
      <bottom/>
      <diagonal/>
    </border>
    <border>
      <left/>
      <right style="medium">
        <color indexed="9"/>
      </right>
      <top style="medium">
        <color indexed="9"/>
      </top>
      <bottom/>
      <diagonal/>
    </border>
  </borders>
  <cellStyleXfs count="12">
    <xf numFmtId="0" fontId="0" fillId="0" borderId="0"/>
    <xf numFmtId="0" fontId="4" fillId="0" borderId="0"/>
    <xf numFmtId="0" fontId="4" fillId="0" borderId="0"/>
    <xf numFmtId="0" fontId="4" fillId="0" borderId="0"/>
    <xf numFmtId="0" fontId="4" fillId="0" borderId="0"/>
    <xf numFmtId="0" fontId="4" fillId="0" borderId="0"/>
    <xf numFmtId="9" fontId="1" fillId="0" borderId="0" applyFont="0" applyFill="0" applyBorder="0" applyAlignment="0" applyProtection="0"/>
    <xf numFmtId="9" fontId="4"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4" fillId="0" borderId="0" applyFont="0" applyFill="0" applyBorder="0" applyAlignment="0" applyProtection="0"/>
    <xf numFmtId="0" fontId="30" fillId="0" borderId="0" applyNumberFormat="0" applyFill="0" applyBorder="0" applyAlignment="0" applyProtection="0"/>
  </cellStyleXfs>
  <cellXfs count="245">
    <xf numFmtId="0" fontId="0" fillId="0" borderId="0" xfId="0"/>
    <xf numFmtId="0" fontId="3" fillId="0" borderId="0" xfId="0" applyFont="1"/>
    <xf numFmtId="0" fontId="0" fillId="0" borderId="0" xfId="0" applyFill="1"/>
    <xf numFmtId="0" fontId="3" fillId="0" borderId="0" xfId="0" applyFont="1" applyFill="1"/>
    <xf numFmtId="0" fontId="3" fillId="0" borderId="0" xfId="0" applyFont="1" applyAlignment="1">
      <alignment wrapText="1"/>
    </xf>
    <xf numFmtId="0" fontId="0" fillId="0" borderId="0" xfId="0" applyNumberFormat="1" applyFill="1"/>
    <xf numFmtId="0" fontId="0" fillId="2" borderId="0" xfId="0" applyFill="1"/>
    <xf numFmtId="0" fontId="4" fillId="0" borderId="0" xfId="0" applyFont="1" applyFill="1"/>
    <xf numFmtId="1" fontId="5" fillId="3" borderId="0" xfId="0" applyNumberFormat="1" applyFont="1" applyFill="1"/>
    <xf numFmtId="0" fontId="0" fillId="5" borderId="1" xfId="0" applyFill="1" applyBorder="1"/>
    <xf numFmtId="0" fontId="0" fillId="5" borderId="2" xfId="0" applyFill="1" applyBorder="1"/>
    <xf numFmtId="0" fontId="0" fillId="5" borderId="3" xfId="0" applyFill="1" applyBorder="1"/>
    <xf numFmtId="0" fontId="0" fillId="5" borderId="4" xfId="0" applyFill="1" applyBorder="1"/>
    <xf numFmtId="0" fontId="0" fillId="5" borderId="0" xfId="0" applyFill="1"/>
    <xf numFmtId="0" fontId="0" fillId="5" borderId="5" xfId="0" applyFill="1" applyBorder="1"/>
    <xf numFmtId="0" fontId="6" fillId="5" borderId="4" xfId="0" applyFont="1" applyFill="1" applyBorder="1"/>
    <xf numFmtId="0" fontId="6" fillId="5" borderId="0" xfId="0" applyFont="1" applyFill="1"/>
    <xf numFmtId="0" fontId="6" fillId="5" borderId="5" xfId="0" applyFont="1"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0" fillId="5" borderId="10" xfId="0" applyFill="1" applyBorder="1"/>
    <xf numFmtId="0" fontId="0" fillId="5" borderId="11" xfId="0" applyFill="1" applyBorder="1"/>
    <xf numFmtId="0" fontId="0" fillId="5" borderId="12" xfId="0" applyFill="1" applyBorder="1"/>
    <xf numFmtId="0" fontId="0" fillId="5" borderId="13" xfId="0" applyFill="1" applyBorder="1"/>
    <xf numFmtId="0" fontId="0" fillId="5" borderId="14" xfId="0" applyFill="1" applyBorder="1"/>
    <xf numFmtId="0" fontId="0" fillId="5" borderId="15" xfId="0" applyFill="1" applyBorder="1"/>
    <xf numFmtId="0" fontId="0" fillId="5" borderId="16" xfId="0" applyFill="1" applyBorder="1"/>
    <xf numFmtId="165" fontId="8" fillId="0" borderId="0" xfId="0" applyNumberFormat="1" applyFont="1" applyFill="1"/>
    <xf numFmtId="0" fontId="3" fillId="0" borderId="0" xfId="0" applyFont="1" applyAlignment="1">
      <alignment horizontal="left"/>
    </xf>
    <xf numFmtId="0" fontId="3" fillId="0" borderId="0" xfId="0" applyFont="1" applyFill="1" applyAlignment="1">
      <alignment horizontal="left"/>
    </xf>
    <xf numFmtId="0" fontId="0" fillId="0" borderId="0" xfId="0" applyFill="1" applyAlignment="1">
      <alignment horizontal="right"/>
    </xf>
    <xf numFmtId="165" fontId="3" fillId="0" borderId="0" xfId="0" applyNumberFormat="1" applyFont="1" applyFill="1" applyAlignment="1">
      <alignment horizontal="right"/>
    </xf>
    <xf numFmtId="0" fontId="3" fillId="0" borderId="0" xfId="0" applyFont="1" applyFill="1" applyAlignment="1">
      <alignment wrapText="1"/>
    </xf>
    <xf numFmtId="1" fontId="5" fillId="0" borderId="0" xfId="0" applyNumberFormat="1" applyFont="1" applyFill="1"/>
    <xf numFmtId="1" fontId="0" fillId="0" borderId="0" xfId="0" applyNumberFormat="1" applyFill="1"/>
    <xf numFmtId="164" fontId="0" fillId="0" borderId="0" xfId="0" applyNumberFormat="1" applyFill="1"/>
    <xf numFmtId="165" fontId="1" fillId="0" borderId="0" xfId="0" applyNumberFormat="1" applyFont="1" applyFill="1"/>
    <xf numFmtId="0" fontId="11" fillId="6" borderId="0" xfId="3" applyFont="1" applyFill="1" applyProtection="1">
      <protection hidden="1"/>
    </xf>
    <xf numFmtId="0" fontId="8" fillId="6" borderId="0" xfId="3" applyFont="1" applyFill="1" applyProtection="1">
      <protection hidden="1"/>
    </xf>
    <xf numFmtId="0" fontId="4" fillId="6" borderId="0" xfId="3" applyFont="1" applyFill="1" applyProtection="1">
      <protection hidden="1"/>
    </xf>
    <xf numFmtId="0" fontId="4" fillId="6" borderId="0" xfId="3" applyFont="1" applyFill="1" applyBorder="1" applyProtection="1">
      <protection hidden="1"/>
    </xf>
    <xf numFmtId="49" fontId="4" fillId="6" borderId="0" xfId="3" applyNumberFormat="1" applyFont="1" applyFill="1" applyBorder="1" applyProtection="1">
      <protection hidden="1"/>
    </xf>
    <xf numFmtId="0" fontId="4" fillId="6" borderId="0" xfId="3" applyFont="1" applyFill="1" applyBorder="1"/>
    <xf numFmtId="0" fontId="4" fillId="6" borderId="0" xfId="3" applyFill="1" applyProtection="1">
      <protection hidden="1"/>
    </xf>
    <xf numFmtId="0" fontId="12" fillId="6" borderId="0" xfId="3" applyFont="1" applyFill="1" applyProtection="1">
      <protection hidden="1"/>
    </xf>
    <xf numFmtId="0" fontId="11" fillId="6" borderId="0" xfId="3" applyFont="1" applyFill="1" applyBorder="1" applyProtection="1">
      <protection hidden="1"/>
    </xf>
    <xf numFmtId="0" fontId="8" fillId="6" borderId="0" xfId="3" applyFont="1" applyFill="1" applyBorder="1" applyProtection="1">
      <protection hidden="1"/>
    </xf>
    <xf numFmtId="0" fontId="4" fillId="6" borderId="17" xfId="3" applyFont="1" applyFill="1" applyBorder="1" applyProtection="1">
      <protection hidden="1"/>
    </xf>
    <xf numFmtId="0" fontId="13" fillId="7" borderId="18" xfId="3" applyFont="1" applyFill="1" applyBorder="1" applyProtection="1">
      <protection hidden="1"/>
    </xf>
    <xf numFmtId="1" fontId="8" fillId="6" borderId="0" xfId="3" applyNumberFormat="1" applyFont="1" applyFill="1" applyBorder="1" applyProtection="1">
      <protection hidden="1"/>
    </xf>
    <xf numFmtId="48" fontId="14" fillId="8" borderId="19" xfId="3" applyNumberFormat="1" applyFont="1" applyFill="1" applyBorder="1" applyAlignment="1" applyProtection="1">
      <alignment horizontal="center"/>
      <protection hidden="1"/>
    </xf>
    <xf numFmtId="0" fontId="14" fillId="8" borderId="20" xfId="3" applyFont="1" applyFill="1" applyBorder="1" applyProtection="1">
      <protection hidden="1"/>
    </xf>
    <xf numFmtId="0" fontId="10" fillId="9" borderId="21" xfId="3" applyFont="1" applyFill="1" applyBorder="1" applyAlignment="1">
      <alignment horizontal="center" wrapText="1"/>
    </xf>
    <xf numFmtId="0" fontId="10" fillId="9" borderId="22" xfId="3" applyFont="1" applyFill="1" applyBorder="1" applyAlignment="1">
      <alignment horizontal="center" wrapText="1"/>
    </xf>
    <xf numFmtId="0" fontId="10" fillId="10" borderId="21" xfId="3" applyFont="1" applyFill="1" applyBorder="1" applyAlignment="1">
      <alignment horizontal="center" wrapText="1"/>
    </xf>
    <xf numFmtId="0" fontId="10" fillId="10" borderId="23" xfId="3" applyFont="1" applyFill="1" applyBorder="1" applyAlignment="1">
      <alignment horizontal="center" wrapText="1"/>
    </xf>
    <xf numFmtId="48" fontId="13" fillId="7" borderId="11" xfId="3" applyNumberFormat="1" applyFont="1" applyFill="1" applyBorder="1" applyAlignment="1" applyProtection="1">
      <alignment horizontal="center"/>
      <protection hidden="1"/>
    </xf>
    <xf numFmtId="0" fontId="13" fillId="7" borderId="13" xfId="3" applyFont="1" applyFill="1" applyBorder="1" applyProtection="1">
      <protection hidden="1"/>
    </xf>
    <xf numFmtId="0" fontId="4" fillId="6" borderId="24" xfId="3" applyFont="1" applyFill="1" applyBorder="1" applyProtection="1">
      <protection hidden="1"/>
    </xf>
    <xf numFmtId="0" fontId="14" fillId="8" borderId="25" xfId="3" applyFont="1" applyFill="1" applyBorder="1" applyProtection="1">
      <protection hidden="1"/>
    </xf>
    <xf numFmtId="1" fontId="9" fillId="6" borderId="0" xfId="3" applyNumberFormat="1" applyFont="1" applyFill="1" applyBorder="1" applyProtection="1">
      <protection hidden="1"/>
    </xf>
    <xf numFmtId="165" fontId="15" fillId="6" borderId="0" xfId="3" applyNumberFormat="1" applyFont="1" applyFill="1" applyBorder="1" applyAlignment="1" applyProtection="1">
      <alignment horizontal="center"/>
      <protection hidden="1"/>
    </xf>
    <xf numFmtId="2" fontId="9" fillId="6" borderId="0" xfId="3" applyNumberFormat="1" applyFont="1" applyFill="1" applyBorder="1" applyAlignment="1" applyProtection="1">
      <alignment horizontal="center"/>
      <protection hidden="1"/>
    </xf>
    <xf numFmtId="0" fontId="4" fillId="6" borderId="26" xfId="3" applyFont="1" applyFill="1" applyBorder="1" applyProtection="1">
      <protection hidden="1"/>
    </xf>
    <xf numFmtId="0" fontId="14" fillId="8" borderId="27" xfId="3" applyFont="1" applyFill="1" applyBorder="1" applyProtection="1">
      <protection hidden="1"/>
    </xf>
    <xf numFmtId="0" fontId="16" fillId="6" borderId="0" xfId="3" applyFont="1" applyFill="1" applyBorder="1" applyProtection="1">
      <protection hidden="1"/>
    </xf>
    <xf numFmtId="0" fontId="17" fillId="6" borderId="0" xfId="3" applyFont="1" applyFill="1" applyBorder="1" applyAlignment="1" applyProtection="1">
      <alignment horizontal="center" wrapText="1"/>
      <protection hidden="1"/>
    </xf>
    <xf numFmtId="2" fontId="4" fillId="6" borderId="0" xfId="3" applyNumberFormat="1" applyFont="1" applyFill="1" applyBorder="1" applyAlignment="1" applyProtection="1">
      <alignment horizontal="center"/>
      <protection hidden="1"/>
    </xf>
    <xf numFmtId="1" fontId="4" fillId="6" borderId="0" xfId="3" applyNumberFormat="1" applyFont="1" applyFill="1" applyBorder="1" applyProtection="1"/>
    <xf numFmtId="0" fontId="4" fillId="6" borderId="28" xfId="3" applyFont="1" applyFill="1" applyBorder="1" applyProtection="1">
      <protection hidden="1"/>
    </xf>
    <xf numFmtId="0" fontId="14" fillId="8" borderId="29" xfId="3" applyFont="1" applyFill="1" applyBorder="1" applyProtection="1">
      <protection hidden="1"/>
    </xf>
    <xf numFmtId="0" fontId="10" fillId="11" borderId="30" xfId="3" applyFont="1" applyFill="1" applyBorder="1" applyAlignment="1">
      <alignment horizontal="center" wrapText="1"/>
    </xf>
    <xf numFmtId="0" fontId="10" fillId="11" borderId="21" xfId="3" applyFont="1" applyFill="1" applyBorder="1" applyAlignment="1">
      <alignment horizontal="center" wrapText="1"/>
    </xf>
    <xf numFmtId="0" fontId="10" fillId="11" borderId="22" xfId="3" applyFont="1" applyFill="1" applyBorder="1" applyAlignment="1">
      <alignment horizontal="center" wrapText="1"/>
    </xf>
    <xf numFmtId="0" fontId="4" fillId="6" borderId="0" xfId="3" applyFont="1" applyFill="1" applyBorder="1" applyAlignment="1" applyProtection="1">
      <alignment horizontal="center"/>
      <protection hidden="1"/>
    </xf>
    <xf numFmtId="0" fontId="4" fillId="6" borderId="0" xfId="3" applyFill="1" applyBorder="1" applyAlignment="1">
      <alignment wrapText="1"/>
    </xf>
    <xf numFmtId="0" fontId="4" fillId="6" borderId="0" xfId="3" applyFill="1" applyBorder="1" applyAlignment="1">
      <alignment horizontal="center"/>
    </xf>
    <xf numFmtId="0" fontId="14" fillId="6" borderId="0" xfId="3" applyFont="1" applyFill="1" applyBorder="1" applyProtection="1">
      <protection hidden="1"/>
    </xf>
    <xf numFmtId="0" fontId="4" fillId="6" borderId="0" xfId="3" applyFont="1" applyFill="1"/>
    <xf numFmtId="49" fontId="18" fillId="8" borderId="21" xfId="3" applyNumberFormat="1" applyFont="1" applyFill="1" applyBorder="1" applyAlignment="1">
      <alignment horizontal="center" wrapText="1"/>
    </xf>
    <xf numFmtId="49" fontId="18" fillId="8" borderId="22" xfId="3" applyNumberFormat="1" applyFont="1" applyFill="1" applyBorder="1" applyAlignment="1">
      <alignment horizontal="center" wrapText="1"/>
    </xf>
    <xf numFmtId="0" fontId="19" fillId="6" borderId="0" xfId="3" applyFont="1" applyFill="1"/>
    <xf numFmtId="49" fontId="4" fillId="6" borderId="0" xfId="3" applyNumberFormat="1" applyFill="1" applyBorder="1" applyProtection="1"/>
    <xf numFmtId="49" fontId="18" fillId="8" borderId="23" xfId="3" applyNumberFormat="1" applyFont="1" applyFill="1" applyBorder="1" applyAlignment="1">
      <alignment horizontal="center" wrapText="1"/>
    </xf>
    <xf numFmtId="49" fontId="9" fillId="6" borderId="0" xfId="3" applyNumberFormat="1" applyFont="1" applyFill="1" applyBorder="1" applyProtection="1">
      <protection hidden="1"/>
    </xf>
    <xf numFmtId="0" fontId="9" fillId="6" borderId="0" xfId="3" applyFont="1" applyFill="1" applyProtection="1">
      <protection hidden="1"/>
    </xf>
    <xf numFmtId="0" fontId="9" fillId="6" borderId="0" xfId="3" applyFont="1" applyFill="1" applyBorder="1" applyProtection="1">
      <protection hidden="1"/>
    </xf>
    <xf numFmtId="0" fontId="18" fillId="6" borderId="0" xfId="3" applyFont="1" applyFill="1" applyBorder="1" applyAlignment="1" applyProtection="1">
      <alignment horizontal="center" wrapText="1"/>
      <protection hidden="1"/>
    </xf>
    <xf numFmtId="0" fontId="9" fillId="6" borderId="0" xfId="3" applyFont="1" applyFill="1"/>
    <xf numFmtId="0" fontId="26" fillId="12" borderId="0" xfId="3" applyFont="1" applyFill="1" applyBorder="1" applyProtection="1">
      <protection hidden="1"/>
    </xf>
    <xf numFmtId="0" fontId="20" fillId="0" borderId="0" xfId="0" applyFont="1" applyAlignment="1">
      <alignment wrapText="1"/>
    </xf>
    <xf numFmtId="0" fontId="1" fillId="0" borderId="0" xfId="0" applyFont="1" applyFill="1" applyAlignment="1">
      <alignment wrapText="1"/>
    </xf>
    <xf numFmtId="0" fontId="21" fillId="0" borderId="0" xfId="0" applyFont="1" applyAlignment="1">
      <alignment wrapText="1"/>
    </xf>
    <xf numFmtId="165" fontId="1" fillId="2" borderId="0" xfId="0" applyNumberFormat="1" applyFont="1" applyFill="1" applyProtection="1">
      <protection locked="0"/>
    </xf>
    <xf numFmtId="2" fontId="26" fillId="12" borderId="0" xfId="3" applyNumberFormat="1" applyFont="1" applyFill="1" applyBorder="1" applyProtection="1">
      <protection hidden="1"/>
    </xf>
    <xf numFmtId="164" fontId="26" fillId="12" borderId="0" xfId="3" applyNumberFormat="1" applyFont="1" applyFill="1" applyBorder="1" applyProtection="1">
      <protection hidden="1"/>
    </xf>
    <xf numFmtId="0" fontId="0" fillId="0" borderId="0" xfId="0" applyFill="1" applyAlignment="1" applyProtection="1">
      <alignment horizontal="right"/>
    </xf>
    <xf numFmtId="1" fontId="0" fillId="0" borderId="0" xfId="0" applyNumberFormat="1" applyFill="1" applyAlignment="1" applyProtection="1">
      <alignment horizontal="right"/>
    </xf>
    <xf numFmtId="164" fontId="3" fillId="2" borderId="0" xfId="0" applyNumberFormat="1" applyFont="1" applyFill="1" applyProtection="1">
      <protection locked="0"/>
    </xf>
    <xf numFmtId="2" fontId="3" fillId="2" borderId="0" xfId="0" applyNumberFormat="1" applyFont="1" applyFill="1" applyProtection="1">
      <protection locked="0"/>
    </xf>
    <xf numFmtId="1" fontId="3" fillId="2" borderId="0" xfId="0" applyNumberFormat="1" applyFont="1" applyFill="1" applyProtection="1">
      <protection locked="0"/>
    </xf>
    <xf numFmtId="0" fontId="1" fillId="0" borderId="0" xfId="0" applyFont="1"/>
    <xf numFmtId="0" fontId="3" fillId="0" borderId="0" xfId="0" applyFont="1" applyAlignment="1">
      <alignment horizontal="left" vertical="center"/>
    </xf>
    <xf numFmtId="0" fontId="1" fillId="0" borderId="0" xfId="0" applyFont="1" applyFill="1"/>
    <xf numFmtId="0" fontId="1" fillId="0" borderId="0" xfId="1" applyFont="1"/>
    <xf numFmtId="2" fontId="1" fillId="0" borderId="0" xfId="1" applyNumberFormat="1" applyFont="1" applyFill="1"/>
    <xf numFmtId="0" fontId="1" fillId="0" borderId="0" xfId="1" applyFont="1" applyFill="1"/>
    <xf numFmtId="0" fontId="1" fillId="0" borderId="0" xfId="1" applyFont="1" applyFill="1" applyAlignment="1">
      <alignment horizontal="left"/>
    </xf>
    <xf numFmtId="11" fontId="1" fillId="0" borderId="0" xfId="0" applyNumberFormat="1" applyFont="1" applyFill="1"/>
    <xf numFmtId="0" fontId="1" fillId="14" borderId="0" xfId="0" applyFont="1" applyFill="1" applyAlignment="1" applyProtection="1">
      <alignment horizontal="center"/>
      <protection locked="0"/>
    </xf>
    <xf numFmtId="0" fontId="1" fillId="2" borderId="0" xfId="0" applyFont="1" applyFill="1" applyAlignment="1">
      <alignment horizontal="center" vertical="center"/>
    </xf>
    <xf numFmtId="0" fontId="1" fillId="0" borderId="0" xfId="0" applyFont="1" applyAlignment="1">
      <alignment wrapText="1"/>
    </xf>
    <xf numFmtId="0" fontId="1" fillId="3" borderId="0" xfId="0" applyFont="1" applyFill="1" applyAlignment="1">
      <alignment horizontal="center" vertical="center"/>
    </xf>
    <xf numFmtId="0" fontId="1" fillId="4" borderId="0" xfId="0" applyFont="1" applyFill="1" applyAlignment="1">
      <alignment horizontal="center" vertical="center"/>
    </xf>
    <xf numFmtId="2" fontId="1" fillId="2" borderId="0" xfId="0" applyNumberFormat="1" applyFont="1" applyFill="1" applyProtection="1">
      <protection locked="0"/>
    </xf>
    <xf numFmtId="0" fontId="1" fillId="0" borderId="0" xfId="0" applyFont="1" applyFill="1" applyAlignment="1">
      <alignment horizontal="left"/>
    </xf>
    <xf numFmtId="165" fontId="1" fillId="0" borderId="0" xfId="0" applyNumberFormat="1" applyFont="1" applyFill="1" applyAlignment="1">
      <alignment horizontal="right"/>
    </xf>
    <xf numFmtId="0" fontId="1" fillId="0" borderId="0" xfId="0" applyFont="1" applyFill="1" applyAlignment="1">
      <alignment horizontal="right"/>
    </xf>
    <xf numFmtId="0" fontId="1" fillId="2" borderId="0" xfId="0" applyFont="1" applyFill="1" applyProtection="1">
      <protection locked="0"/>
    </xf>
    <xf numFmtId="0" fontId="1" fillId="0" borderId="0" xfId="0" applyFont="1" applyFill="1" applyAlignment="1" applyProtection="1">
      <alignment horizontal="left"/>
    </xf>
    <xf numFmtId="0" fontId="1" fillId="0" borderId="0" xfId="0" applyFont="1" applyAlignment="1">
      <alignment horizontal="left"/>
    </xf>
    <xf numFmtId="0" fontId="1" fillId="0" borderId="0" xfId="0" applyNumberFormat="1" applyFont="1" applyFill="1"/>
    <xf numFmtId="1" fontId="1" fillId="2" borderId="0" xfId="0" applyNumberFormat="1" applyFont="1" applyFill="1" applyProtection="1">
      <protection locked="0"/>
    </xf>
    <xf numFmtId="2" fontId="1" fillId="0" borderId="0" xfId="0" applyNumberFormat="1" applyFont="1" applyFill="1"/>
    <xf numFmtId="0" fontId="1" fillId="0" borderId="0" xfId="0" applyFont="1" applyAlignment="1">
      <alignment horizontal="right" wrapText="1"/>
    </xf>
    <xf numFmtId="0" fontId="1" fillId="0" borderId="0" xfId="0" applyFont="1" applyAlignment="1">
      <alignment horizontal="center"/>
    </xf>
    <xf numFmtId="164" fontId="1" fillId="3" borderId="0" xfId="0" applyNumberFormat="1" applyFont="1" applyFill="1"/>
    <xf numFmtId="0" fontId="1" fillId="0" borderId="0" xfId="0" applyNumberFormat="1" applyFont="1"/>
    <xf numFmtId="1" fontId="1" fillId="3" borderId="0" xfId="0" applyNumberFormat="1" applyFont="1" applyFill="1"/>
    <xf numFmtId="166" fontId="1" fillId="0" borderId="0" xfId="0" applyNumberFormat="1" applyFont="1" applyFill="1" applyAlignment="1">
      <alignment horizontal="left"/>
    </xf>
    <xf numFmtId="2" fontId="1" fillId="3" borderId="0" xfId="0" applyNumberFormat="1" applyFont="1" applyFill="1"/>
    <xf numFmtId="164" fontId="1" fillId="0" borderId="0" xfId="0" applyNumberFormat="1" applyFont="1" applyAlignment="1">
      <alignment horizontal="center"/>
    </xf>
    <xf numFmtId="1" fontId="1" fillId="0" borderId="0" xfId="0" applyNumberFormat="1" applyFont="1"/>
    <xf numFmtId="0" fontId="1" fillId="0" borderId="0" xfId="0" applyFont="1" applyFill="1" applyAlignment="1">
      <alignment horizontal="center"/>
    </xf>
    <xf numFmtId="0" fontId="1" fillId="0" borderId="0" xfId="0" quotePrefix="1" applyFont="1"/>
    <xf numFmtId="164" fontId="1" fillId="2" borderId="0" xfId="0" applyNumberFormat="1" applyFont="1" applyFill="1" applyProtection="1">
      <protection locked="0"/>
    </xf>
    <xf numFmtId="2" fontId="1" fillId="3" borderId="0" xfId="0" applyNumberFormat="1" applyFont="1" applyFill="1" applyAlignment="1">
      <alignment horizontal="right"/>
    </xf>
    <xf numFmtId="165" fontId="1" fillId="3" borderId="0" xfId="0" applyNumberFormat="1" applyFont="1" applyFill="1"/>
    <xf numFmtId="166" fontId="1" fillId="0" borderId="0" xfId="0" applyNumberFormat="1" applyFont="1" applyFill="1"/>
    <xf numFmtId="9" fontId="1" fillId="2" borderId="0" xfId="6" applyFont="1" applyFill="1" applyProtection="1">
      <protection locked="0"/>
    </xf>
    <xf numFmtId="11" fontId="1" fillId="0" borderId="0" xfId="0" applyNumberFormat="1" applyFont="1"/>
    <xf numFmtId="1" fontId="1" fillId="0" borderId="0" xfId="0" applyNumberFormat="1" applyFont="1" applyFill="1"/>
    <xf numFmtId="164" fontId="1" fillId="0" borderId="0" xfId="0" applyNumberFormat="1" applyFont="1" applyFill="1"/>
    <xf numFmtId="167" fontId="1" fillId="0" borderId="0" xfId="0" applyNumberFormat="1" applyFont="1" applyFill="1" applyAlignment="1">
      <alignment horizontal="right"/>
    </xf>
    <xf numFmtId="0" fontId="1" fillId="0" borderId="0" xfId="0" applyFont="1" applyAlignment="1"/>
    <xf numFmtId="11" fontId="1" fillId="0" borderId="0" xfId="0" applyNumberFormat="1" applyFont="1" applyFill="1" applyAlignment="1">
      <alignment horizontal="left"/>
    </xf>
    <xf numFmtId="0" fontId="1" fillId="0" borderId="0" xfId="0" applyFont="1" applyProtection="1"/>
    <xf numFmtId="48" fontId="1" fillId="0" borderId="0" xfId="0" applyNumberFormat="1" applyFont="1" applyFill="1"/>
    <xf numFmtId="165" fontId="1" fillId="12" borderId="0" xfId="0" applyNumberFormat="1" applyFont="1" applyFill="1"/>
    <xf numFmtId="2" fontId="1" fillId="0" borderId="0" xfId="0" applyNumberFormat="1" applyFont="1"/>
    <xf numFmtId="2" fontId="1" fillId="12" borderId="0" xfId="0" applyNumberFormat="1" applyFont="1" applyFill="1"/>
    <xf numFmtId="2" fontId="1" fillId="13" borderId="0" xfId="0" applyNumberFormat="1" applyFont="1" applyFill="1"/>
    <xf numFmtId="164" fontId="1" fillId="13" borderId="0" xfId="0" applyNumberFormat="1" applyFont="1" applyFill="1"/>
    <xf numFmtId="1" fontId="1" fillId="4" borderId="0" xfId="0" applyNumberFormat="1" applyFont="1" applyFill="1"/>
    <xf numFmtId="164" fontId="1" fillId="4" borderId="0" xfId="0" applyNumberFormat="1" applyFont="1" applyFill="1" applyAlignment="1">
      <alignment horizontal="right"/>
    </xf>
    <xf numFmtId="2" fontId="1" fillId="4" borderId="0" xfId="0" applyNumberFormat="1" applyFont="1" applyFill="1" applyAlignment="1">
      <alignment horizontal="right"/>
    </xf>
    <xf numFmtId="165" fontId="1" fillId="4" borderId="0" xfId="0" applyNumberFormat="1" applyFont="1" applyFill="1"/>
    <xf numFmtId="164" fontId="1" fillId="4" borderId="0" xfId="0" applyNumberFormat="1" applyFont="1" applyFill="1"/>
    <xf numFmtId="2" fontId="1" fillId="4" borderId="0" xfId="0" applyNumberFormat="1" applyFont="1" applyFill="1"/>
    <xf numFmtId="166" fontId="1" fillId="0" borderId="0" xfId="0" applyNumberFormat="1" applyFont="1"/>
    <xf numFmtId="1" fontId="1" fillId="3" borderId="0" xfId="0" applyNumberFormat="1" applyFont="1" applyFill="1" applyAlignment="1">
      <alignment horizontal="right" vertical="center"/>
    </xf>
    <xf numFmtId="0" fontId="1" fillId="4" borderId="0" xfId="0" applyFont="1" applyFill="1" applyAlignment="1">
      <alignment horizontal="right" vertical="center"/>
    </xf>
    <xf numFmtId="165" fontId="1" fillId="3" borderId="0" xfId="0" applyNumberFormat="1" applyFont="1" applyFill="1" applyAlignment="1">
      <alignment horizontal="right" vertical="center"/>
    </xf>
    <xf numFmtId="167" fontId="1" fillId="3" borderId="0" xfId="0" applyNumberFormat="1" applyFont="1" applyFill="1" applyAlignment="1">
      <alignment horizontal="right" vertical="center"/>
    </xf>
    <xf numFmtId="10" fontId="1" fillId="3" borderId="0" xfId="6" applyNumberFormat="1" applyFont="1" applyFill="1" applyAlignment="1">
      <alignment horizontal="right" vertical="center"/>
    </xf>
    <xf numFmtId="168" fontId="1" fillId="4" borderId="0" xfId="6" applyNumberFormat="1" applyFont="1" applyFill="1" applyAlignment="1">
      <alignment horizontal="right" vertical="center"/>
    </xf>
    <xf numFmtId="10" fontId="1" fillId="4" borderId="0" xfId="6" applyNumberFormat="1" applyFont="1" applyFill="1" applyAlignment="1">
      <alignment horizontal="center" vertical="center"/>
    </xf>
    <xf numFmtId="0" fontId="3" fillId="0" borderId="0" xfId="0" applyFont="1" applyAlignment="1">
      <alignment horizontal="center" wrapText="1"/>
    </xf>
    <xf numFmtId="0" fontId="23" fillId="0" borderId="0" xfId="0" applyFont="1" applyAlignment="1">
      <alignment vertical="center" wrapText="1"/>
    </xf>
    <xf numFmtId="0" fontId="1" fillId="2" borderId="0" xfId="0" applyFont="1" applyFill="1" applyAlignment="1" applyProtection="1">
      <alignment horizontal="right"/>
      <protection locked="0"/>
    </xf>
    <xf numFmtId="0" fontId="1" fillId="0" borderId="0" xfId="0" applyFont="1" applyProtection="1">
      <protection hidden="1"/>
    </xf>
    <xf numFmtId="0" fontId="1" fillId="0" borderId="0" xfId="0" applyFont="1" applyAlignment="1" applyProtection="1">
      <alignment horizontal="left"/>
      <protection hidden="1"/>
    </xf>
    <xf numFmtId="48" fontId="1" fillId="12" borderId="0" xfId="0" applyNumberFormat="1" applyFont="1" applyFill="1" applyProtection="1">
      <protection hidden="1"/>
    </xf>
    <xf numFmtId="164" fontId="1" fillId="12" borderId="0" xfId="0" applyNumberFormat="1" applyFont="1" applyFill="1" applyProtection="1">
      <protection hidden="1"/>
    </xf>
    <xf numFmtId="0" fontId="4" fillId="0" borderId="0" xfId="0" applyFont="1" applyAlignment="1">
      <alignment wrapText="1"/>
    </xf>
    <xf numFmtId="0" fontId="0" fillId="0" borderId="0" xfId="0" applyAlignment="1">
      <alignment horizontal="left" wrapText="1"/>
    </xf>
    <xf numFmtId="0" fontId="0" fillId="0" borderId="0" xfId="0" applyFill="1" applyAlignment="1">
      <alignment horizontal="left" wrapText="1"/>
    </xf>
    <xf numFmtId="0" fontId="1" fillId="0" borderId="0" xfId="0" applyFont="1" applyAlignment="1">
      <alignment horizontal="left" wrapText="1"/>
    </xf>
    <xf numFmtId="0" fontId="4" fillId="0" borderId="0" xfId="0" applyFont="1" applyAlignment="1">
      <alignment horizontal="left" wrapText="1"/>
    </xf>
    <xf numFmtId="0" fontId="0" fillId="0" borderId="0" xfId="0" applyAlignment="1">
      <alignment wrapText="1"/>
    </xf>
    <xf numFmtId="165" fontId="1" fillId="2" borderId="0" xfId="0" applyNumberFormat="1" applyFont="1" applyFill="1" applyAlignment="1" applyProtection="1">
      <alignment horizontal="right" vertical="center"/>
      <protection locked="0"/>
    </xf>
    <xf numFmtId="0" fontId="1" fillId="2" borderId="0" xfId="0" applyFont="1" applyFill="1" applyAlignment="1" applyProtection="1">
      <alignment horizontal="right" vertical="center"/>
      <protection locked="0"/>
    </xf>
    <xf numFmtId="168" fontId="1" fillId="2" borderId="0" xfId="6" applyNumberFormat="1" applyFont="1" applyFill="1" applyAlignment="1" applyProtection="1">
      <alignment horizontal="right" vertical="center"/>
      <protection locked="0"/>
    </xf>
    <xf numFmtId="10" fontId="1" fillId="14" borderId="0" xfId="6" applyNumberFormat="1" applyFont="1" applyFill="1" applyAlignment="1" applyProtection="1">
      <alignment horizontal="center" vertical="center"/>
      <protection locked="0"/>
    </xf>
    <xf numFmtId="0" fontId="1" fillId="2" borderId="0" xfId="0" applyNumberFormat="1" applyFont="1" applyFill="1" applyAlignment="1" applyProtection="1">
      <alignment horizontal="center"/>
      <protection locked="0"/>
    </xf>
    <xf numFmtId="168" fontId="0" fillId="0" borderId="0" xfId="0" applyNumberFormat="1" applyFill="1"/>
    <xf numFmtId="14" fontId="4" fillId="5" borderId="0" xfId="0" applyNumberFormat="1" applyFont="1" applyFill="1"/>
    <xf numFmtId="0" fontId="0" fillId="15" borderId="0" xfId="0" applyFill="1"/>
    <xf numFmtId="0" fontId="7" fillId="0" borderId="0" xfId="0" applyFont="1" applyAlignment="1">
      <alignment wrapText="1"/>
    </xf>
    <xf numFmtId="0" fontId="7" fillId="0" borderId="0" xfId="0" applyFont="1" applyAlignment="1">
      <alignment horizontal="right" wrapText="1"/>
    </xf>
    <xf numFmtId="0" fontId="27" fillId="0" borderId="0" xfId="0" applyFont="1" applyAlignment="1" applyProtection="1">
      <alignment horizontal="center"/>
      <protection hidden="1"/>
    </xf>
    <xf numFmtId="0" fontId="27" fillId="0" borderId="0" xfId="0" applyFont="1" applyAlignment="1" applyProtection="1">
      <alignment horizontal="center" wrapText="1"/>
      <protection hidden="1"/>
    </xf>
    <xf numFmtId="0" fontId="27" fillId="0" borderId="0" xfId="0" quotePrefix="1" applyFont="1" applyAlignment="1" applyProtection="1">
      <alignment horizontal="center"/>
      <protection hidden="1"/>
    </xf>
    <xf numFmtId="0" fontId="27" fillId="0" borderId="0" xfId="0" applyFont="1" applyProtection="1">
      <protection hidden="1"/>
    </xf>
    <xf numFmtId="0" fontId="27" fillId="0" borderId="0" xfId="0" applyFont="1" applyAlignment="1" applyProtection="1">
      <alignment wrapText="1"/>
      <protection hidden="1"/>
    </xf>
    <xf numFmtId="0" fontId="27" fillId="0" borderId="0" xfId="0" applyFont="1" applyAlignment="1" applyProtection="1">
      <alignment horizontal="left"/>
      <protection hidden="1"/>
    </xf>
    <xf numFmtId="0" fontId="27" fillId="0" borderId="0" xfId="0" applyFont="1" applyFill="1" applyAlignment="1" applyProtection="1">
      <alignment horizontal="left"/>
      <protection hidden="1"/>
    </xf>
    <xf numFmtId="0" fontId="27" fillId="0" borderId="0" xfId="0" applyFont="1" applyFill="1" applyAlignment="1" applyProtection="1">
      <alignment horizontal="right"/>
      <protection hidden="1"/>
    </xf>
    <xf numFmtId="0" fontId="27" fillId="0" borderId="0" xfId="0" applyFont="1" applyFill="1" applyProtection="1">
      <protection hidden="1"/>
    </xf>
    <xf numFmtId="48" fontId="27" fillId="0" borderId="0" xfId="0" applyNumberFormat="1" applyFont="1" applyFill="1" applyProtection="1">
      <protection hidden="1"/>
    </xf>
    <xf numFmtId="165" fontId="27" fillId="0" borderId="0" xfId="0" applyNumberFormat="1" applyFont="1" applyFill="1" applyProtection="1">
      <protection hidden="1"/>
    </xf>
    <xf numFmtId="2" fontId="27" fillId="0" borderId="0" xfId="0" applyNumberFormat="1" applyFont="1" applyFill="1" applyProtection="1">
      <protection hidden="1"/>
    </xf>
    <xf numFmtId="48" fontId="1" fillId="2" borderId="0" xfId="0" applyNumberFormat="1" applyFont="1" applyFill="1" applyAlignment="1" applyProtection="1">
      <alignment horizontal="right"/>
      <protection locked="0"/>
    </xf>
    <xf numFmtId="0" fontId="1" fillId="0" borderId="0" xfId="0" applyFont="1" applyFill="1" applyProtection="1">
      <protection hidden="1"/>
    </xf>
    <xf numFmtId="48" fontId="1" fillId="0" borderId="0" xfId="0" applyNumberFormat="1" applyFont="1" applyFill="1" applyProtection="1">
      <protection hidden="1"/>
    </xf>
    <xf numFmtId="2" fontId="1" fillId="0" borderId="0" xfId="0" applyNumberFormat="1" applyFont="1" applyFill="1" applyProtection="1">
      <protection hidden="1"/>
    </xf>
    <xf numFmtId="1" fontId="1" fillId="2" borderId="0" xfId="0" applyNumberFormat="1" applyFont="1" applyFill="1" applyAlignment="1" applyProtection="1">
      <alignment horizontal="right"/>
      <protection locked="0"/>
    </xf>
    <xf numFmtId="0" fontId="1" fillId="0" borderId="0" xfId="0" applyFont="1" applyAlignment="1" applyProtection="1">
      <alignment horizontal="center"/>
      <protection hidden="1"/>
    </xf>
    <xf numFmtId="1" fontId="27" fillId="0" borderId="0" xfId="0" applyNumberFormat="1" applyFont="1" applyProtection="1">
      <protection hidden="1"/>
    </xf>
    <xf numFmtId="0" fontId="1" fillId="5" borderId="0" xfId="0" applyFont="1" applyFill="1"/>
    <xf numFmtId="169" fontId="1" fillId="0" borderId="0" xfId="0" applyNumberFormat="1" applyFont="1"/>
    <xf numFmtId="0" fontId="1" fillId="6" borderId="0" xfId="3" applyFont="1" applyFill="1" applyProtection="1">
      <protection hidden="1"/>
    </xf>
    <xf numFmtId="10" fontId="0" fillId="0" borderId="0" xfId="0" applyNumberFormat="1" applyFill="1"/>
    <xf numFmtId="164" fontId="0" fillId="0" borderId="0" xfId="0" applyNumberFormat="1" applyFill="1" applyAlignment="1">
      <alignment horizontal="right"/>
    </xf>
    <xf numFmtId="2" fontId="0" fillId="0" borderId="0" xfId="0" applyNumberFormat="1" applyFill="1"/>
    <xf numFmtId="0" fontId="1" fillId="12" borderId="0" xfId="0" applyFont="1" applyFill="1" applyProtection="1"/>
    <xf numFmtId="1" fontId="1" fillId="12" borderId="0" xfId="0" applyNumberFormat="1" applyFont="1" applyFill="1" applyProtection="1"/>
    <xf numFmtId="48" fontId="1" fillId="12" borderId="0" xfId="0" applyNumberFormat="1" applyFont="1" applyFill="1" applyProtection="1"/>
    <xf numFmtId="165" fontId="1" fillId="12" borderId="0" xfId="0" applyNumberFormat="1" applyFont="1" applyFill="1" applyProtection="1"/>
    <xf numFmtId="0" fontId="4" fillId="0" borderId="0" xfId="0" applyFont="1" applyFill="1" applyAlignment="1">
      <alignment horizontal="center"/>
    </xf>
    <xf numFmtId="0" fontId="1" fillId="0" borderId="0" xfId="0" applyFont="1" applyFill="1" applyBorder="1"/>
    <xf numFmtId="0" fontId="4" fillId="0" borderId="0" xfId="0" applyFont="1" applyFill="1" applyBorder="1"/>
    <xf numFmtId="0" fontId="0" fillId="0" borderId="0" xfId="0" applyFill="1" applyBorder="1"/>
    <xf numFmtId="0" fontId="30" fillId="5" borderId="0" xfId="11" applyFill="1" applyAlignment="1">
      <alignment horizontal="left" vertical="top" wrapText="1"/>
    </xf>
    <xf numFmtId="0" fontId="4" fillId="5" borderId="0" xfId="0" applyFont="1" applyFill="1" applyAlignment="1">
      <alignment horizontal="left" vertical="top" wrapText="1"/>
    </xf>
    <xf numFmtId="0" fontId="4" fillId="5" borderId="0" xfId="0" applyFont="1" applyFill="1" applyAlignment="1">
      <alignment horizontal="left" vertical="center" wrapText="1"/>
    </xf>
    <xf numFmtId="0" fontId="1" fillId="5" borderId="0" xfId="0" applyFont="1" applyFill="1" applyAlignment="1">
      <alignment horizontal="left" vertical="top" wrapText="1"/>
    </xf>
    <xf numFmtId="0" fontId="1" fillId="5" borderId="0" xfId="0" applyFont="1" applyFill="1" applyAlignment="1">
      <alignment horizontal="left" vertical="center"/>
    </xf>
    <xf numFmtId="0" fontId="4" fillId="5" borderId="0" xfId="0" applyFont="1" applyFill="1" applyAlignment="1">
      <alignment horizontal="left" vertical="center"/>
    </xf>
    <xf numFmtId="0" fontId="0" fillId="5" borderId="0" xfId="0" applyFill="1" applyAlignment="1">
      <alignment horizontal="left" vertical="center"/>
    </xf>
    <xf numFmtId="0" fontId="0" fillId="2" borderId="0" xfId="0" applyFill="1" applyAlignment="1">
      <alignment horizontal="left" vertical="center"/>
    </xf>
    <xf numFmtId="0" fontId="7" fillId="5" borderId="0" xfId="0" applyFont="1" applyFill="1" applyAlignment="1">
      <alignment horizontal="left" vertical="center"/>
    </xf>
    <xf numFmtId="0" fontId="23" fillId="0" borderId="0" xfId="0" applyFont="1" applyAlignment="1">
      <alignment horizontal="center" vertical="center" wrapText="1"/>
    </xf>
    <xf numFmtId="11" fontId="1" fillId="0" borderId="0" xfId="0" applyNumberFormat="1" applyFont="1" applyFill="1" applyAlignment="1">
      <alignment vertical="top" wrapText="1"/>
    </xf>
    <xf numFmtId="0" fontId="10" fillId="9" borderId="31" xfId="3" applyFont="1" applyFill="1" applyBorder="1" applyAlignment="1">
      <alignment horizontal="center" wrapText="1"/>
    </xf>
    <xf numFmtId="0" fontId="10" fillId="9" borderId="30" xfId="3" applyFont="1" applyFill="1" applyBorder="1" applyAlignment="1">
      <alignment horizontal="center" wrapText="1"/>
    </xf>
    <xf numFmtId="0" fontId="10" fillId="10" borderId="32" xfId="3" applyFont="1" applyFill="1" applyBorder="1" applyAlignment="1">
      <alignment horizontal="center" wrapText="1"/>
    </xf>
    <xf numFmtId="0" fontId="10" fillId="10" borderId="33" xfId="3" applyFont="1" applyFill="1" applyBorder="1" applyAlignment="1">
      <alignment horizontal="center" wrapText="1"/>
    </xf>
    <xf numFmtId="0" fontId="10" fillId="11" borderId="31" xfId="3" applyFont="1" applyFill="1" applyBorder="1" applyAlignment="1">
      <alignment horizontal="center" wrapText="1"/>
    </xf>
    <xf numFmtId="0" fontId="10" fillId="11" borderId="30" xfId="3" applyFont="1" applyFill="1" applyBorder="1" applyAlignment="1">
      <alignment horizontal="center" wrapText="1"/>
    </xf>
    <xf numFmtId="49" fontId="18" fillId="8" borderId="31" xfId="3" applyNumberFormat="1" applyFont="1" applyFill="1" applyBorder="1" applyAlignment="1">
      <alignment horizontal="center" wrapText="1"/>
    </xf>
    <xf numFmtId="49" fontId="18" fillId="8" borderId="0" xfId="3" applyNumberFormat="1" applyFont="1" applyFill="1" applyBorder="1" applyAlignment="1">
      <alignment horizontal="center" wrapText="1"/>
    </xf>
    <xf numFmtId="0" fontId="18" fillId="6" borderId="0" xfId="3" applyFont="1" applyFill="1" applyBorder="1" applyAlignment="1" applyProtection="1">
      <alignment horizontal="center" wrapText="1"/>
      <protection hidden="1"/>
    </xf>
  </cellXfs>
  <cellStyles count="12">
    <cellStyle name="Hyperlink" xfId="11" builtinId="8"/>
    <cellStyle name="Normal" xfId="0" builtinId="0"/>
    <cellStyle name="Normal 2" xfId="1"/>
    <cellStyle name="Normal 2 2" xfId="2"/>
    <cellStyle name="Normal 3" xfId="3"/>
    <cellStyle name="Normal 3 2" xfId="4"/>
    <cellStyle name="Normal 4" xfId="5"/>
    <cellStyle name="Percent" xfId="6" builtinId="5"/>
    <cellStyle name="Percent 2" xfId="7"/>
    <cellStyle name="Percent 3" xfId="8"/>
    <cellStyle name="Percent 4" xfId="9"/>
    <cellStyle name="Percent 5" xfId="10"/>
  </cellStyles>
  <dxfs count="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alignment vertical="bottom" textRotation="0" wrapText="1" indent="0" justifyLastLine="0" shrinkToFit="0" readingOrder="0"/>
    </dxf>
  </dxfs>
  <tableStyles count="0" defaultTableStyle="TableStyleMedium9" defaultPivotStyle="PivotStyleLight16"/>
  <colors>
    <mruColors>
      <color rgb="FF00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Frequency Response</a:t>
            </a:r>
          </a:p>
        </c:rich>
      </c:tx>
      <c:layout>
        <c:manualLayout>
          <c:xMode val="edge"/>
          <c:yMode val="edge"/>
          <c:x val="0.42647068353928524"/>
          <c:y val="2.7950247416256069E-2"/>
        </c:manualLayout>
      </c:layout>
      <c:overlay val="0"/>
      <c:spPr>
        <a:noFill/>
        <a:ln w="25400">
          <a:noFill/>
        </a:ln>
      </c:spPr>
    </c:title>
    <c:autoTitleDeleted val="0"/>
    <c:plotArea>
      <c:layout>
        <c:manualLayout>
          <c:layoutTarget val="inner"/>
          <c:xMode val="edge"/>
          <c:yMode val="edge"/>
          <c:x val="6.1320945251672705E-2"/>
          <c:y val="7.3230459293368758E-2"/>
          <c:w val="0.85446114412090191"/>
          <c:h val="0.7726367637425674"/>
        </c:manualLayout>
      </c:layout>
      <c:scatterChart>
        <c:scatterStyle val="smoothMarker"/>
        <c:varyColors val="0"/>
        <c:ser>
          <c:idx val="2"/>
          <c:order val="0"/>
          <c:tx>
            <c:v>Overall Gain </c:v>
          </c:tx>
          <c:spPr>
            <a:ln w="38100">
              <a:solidFill>
                <a:srgbClr val="000000"/>
              </a:solidFill>
              <a:prstDash val="solid"/>
            </a:ln>
          </c:spPr>
          <c:marker>
            <c:symbol val="none"/>
          </c:marker>
          <c:xVal>
            <c:numRef>
              <c:f>'Small Signal'!$L$2:$L$212</c:f>
              <c:numCache>
                <c:formatCode>General</c:formatCode>
                <c:ptCount val="211"/>
                <c:pt idx="0">
                  <c:v>1</c:v>
                </c:pt>
                <c:pt idx="1">
                  <c:v>1.0797751623277096</c:v>
                </c:pt>
                <c:pt idx="2">
                  <c:v>1.1659144011798317</c:v>
                </c:pt>
                <c:pt idx="3">
                  <c:v>1.2589254117941673</c:v>
                </c:pt>
                <c:pt idx="4">
                  <c:v>1.3593563908785258</c:v>
                </c:pt>
                <c:pt idx="5">
                  <c:v>1.4677992676220697</c:v>
                </c:pt>
                <c:pt idx="6">
                  <c:v>1.5848931924611136</c:v>
                </c:pt>
                <c:pt idx="7">
                  <c:v>1.7113283041617808</c:v>
                </c:pt>
                <c:pt idx="8">
                  <c:v>1.8478497974222912</c:v>
                </c:pt>
                <c:pt idx="9">
                  <c:v>1.9952623149688797</c:v>
                </c:pt>
                <c:pt idx="10">
                  <c:v>2.1544346900318838</c:v>
                </c:pt>
                <c:pt idx="11">
                  <c:v>2.3263050671536263</c:v>
                </c:pt>
                <c:pt idx="12">
                  <c:v>2.5118864315095806</c:v>
                </c:pt>
                <c:pt idx="13">
                  <c:v>2.7122725793320286</c:v>
                </c:pt>
                <c:pt idx="14">
                  <c:v>2.9286445646252366</c:v>
                </c:pt>
                <c:pt idx="15">
                  <c:v>3.1622776601683795</c:v>
                </c:pt>
                <c:pt idx="16">
                  <c:v>3.4145488738336023</c:v>
                </c:pt>
                <c:pt idx="17">
                  <c:v>3.6869450645195756</c:v>
                </c:pt>
                <c:pt idx="18">
                  <c:v>3.9810717055349727</c:v>
                </c:pt>
                <c:pt idx="19">
                  <c:v>4.2986623470822769</c:v>
                </c:pt>
                <c:pt idx="20">
                  <c:v>4.6415888336127793</c:v>
                </c:pt>
                <c:pt idx="21">
                  <c:v>5.0118723362727229</c:v>
                </c:pt>
                <c:pt idx="22">
                  <c:v>5.4116952654646369</c:v>
                </c:pt>
                <c:pt idx="23">
                  <c:v>5.8434141337351777</c:v>
                </c:pt>
                <c:pt idx="24">
                  <c:v>6.3095734448019343</c:v>
                </c:pt>
                <c:pt idx="25">
                  <c:v>6.812920690579614</c:v>
                </c:pt>
                <c:pt idx="26">
                  <c:v>7.3564225445964153</c:v>
                </c:pt>
                <c:pt idx="27">
                  <c:v>7.9432823472428176</c:v>
                </c:pt>
                <c:pt idx="28">
                  <c:v>8.5769589859089415</c:v>
                </c:pt>
                <c:pt idx="29">
                  <c:v>9.2611872812879383</c:v>
                </c:pt>
                <c:pt idx="30">
                  <c:v>10</c:v>
                </c:pt>
                <c:pt idx="31">
                  <c:v>10.797751623277103</c:v>
                </c:pt>
                <c:pt idx="32">
                  <c:v>11.659144011798322</c:v>
                </c:pt>
                <c:pt idx="33">
                  <c:v>12.58925411794168</c:v>
                </c:pt>
                <c:pt idx="34">
                  <c:v>13.593563908785256</c:v>
                </c:pt>
                <c:pt idx="35">
                  <c:v>14.677992676220699</c:v>
                </c:pt>
                <c:pt idx="36">
                  <c:v>15.848931924611136</c:v>
                </c:pt>
                <c:pt idx="37">
                  <c:v>17.113283041617812</c:v>
                </c:pt>
                <c:pt idx="38">
                  <c:v>18.478497974222911</c:v>
                </c:pt>
                <c:pt idx="39">
                  <c:v>19.952623149688804</c:v>
                </c:pt>
                <c:pt idx="40">
                  <c:v>21.544346900318843</c:v>
                </c:pt>
                <c:pt idx="41">
                  <c:v>23.263050671536273</c:v>
                </c:pt>
                <c:pt idx="42">
                  <c:v>25.118864315095799</c:v>
                </c:pt>
                <c:pt idx="43">
                  <c:v>27.122725793320289</c:v>
                </c:pt>
                <c:pt idx="44">
                  <c:v>29.286445646252368</c:v>
                </c:pt>
                <c:pt idx="45">
                  <c:v>31.622776601683803</c:v>
                </c:pt>
                <c:pt idx="46">
                  <c:v>34.145488738336034</c:v>
                </c:pt>
                <c:pt idx="47">
                  <c:v>36.869450645195769</c:v>
                </c:pt>
                <c:pt idx="48">
                  <c:v>39.810717055349755</c:v>
                </c:pt>
                <c:pt idx="49">
                  <c:v>42.986623470822771</c:v>
                </c:pt>
                <c:pt idx="50">
                  <c:v>46.415888336127807</c:v>
                </c:pt>
                <c:pt idx="51">
                  <c:v>50.118723362727238</c:v>
                </c:pt>
                <c:pt idx="52">
                  <c:v>54.11695265464639</c:v>
                </c:pt>
                <c:pt idx="53">
                  <c:v>58.434141337351775</c:v>
                </c:pt>
                <c:pt idx="54">
                  <c:v>63.095734448019364</c:v>
                </c:pt>
                <c:pt idx="55">
                  <c:v>68.129206905796124</c:v>
                </c:pt>
                <c:pt idx="56">
                  <c:v>73.564225445964155</c:v>
                </c:pt>
                <c:pt idx="57">
                  <c:v>79.432823472428197</c:v>
                </c:pt>
                <c:pt idx="58">
                  <c:v>85.769589859089479</c:v>
                </c:pt>
                <c:pt idx="59">
                  <c:v>92.611872812879369</c:v>
                </c:pt>
                <c:pt idx="60">
                  <c:v>100</c:v>
                </c:pt>
                <c:pt idx="61">
                  <c:v>107.97751623277095</c:v>
                </c:pt>
                <c:pt idx="62">
                  <c:v>116.59144011798328</c:v>
                </c:pt>
                <c:pt idx="63">
                  <c:v>125.89254117941677</c:v>
                </c:pt>
                <c:pt idx="64">
                  <c:v>135.93563908785265</c:v>
                </c:pt>
                <c:pt idx="65">
                  <c:v>146.77992676220697</c:v>
                </c:pt>
                <c:pt idx="66">
                  <c:v>158.48931924611153</c:v>
                </c:pt>
                <c:pt idx="67">
                  <c:v>171.13283041617817</c:v>
                </c:pt>
                <c:pt idx="68">
                  <c:v>184.7849797422291</c:v>
                </c:pt>
                <c:pt idx="69">
                  <c:v>199.52623149688802</c:v>
                </c:pt>
                <c:pt idx="70">
                  <c:v>215.44346900318848</c:v>
                </c:pt>
                <c:pt idx="71">
                  <c:v>232.6305067153628</c:v>
                </c:pt>
                <c:pt idx="72">
                  <c:v>251.18864315095806</c:v>
                </c:pt>
                <c:pt idx="73">
                  <c:v>271.22725793320296</c:v>
                </c:pt>
                <c:pt idx="74">
                  <c:v>292.86445646252383</c:v>
                </c:pt>
                <c:pt idx="75">
                  <c:v>316.22776601683825</c:v>
                </c:pt>
                <c:pt idx="76">
                  <c:v>341.4548873833603</c:v>
                </c:pt>
                <c:pt idx="77">
                  <c:v>368.69450645195781</c:v>
                </c:pt>
                <c:pt idx="78">
                  <c:v>398.10717055349761</c:v>
                </c:pt>
                <c:pt idx="79">
                  <c:v>429.86623470822781</c:v>
                </c:pt>
                <c:pt idx="80">
                  <c:v>464.15888336127819</c:v>
                </c:pt>
                <c:pt idx="81">
                  <c:v>501.18723362727269</c:v>
                </c:pt>
                <c:pt idx="82">
                  <c:v>541.16952654646434</c:v>
                </c:pt>
                <c:pt idx="83">
                  <c:v>584.34141337351787</c:v>
                </c:pt>
                <c:pt idx="84">
                  <c:v>630.95734448019323</c:v>
                </c:pt>
                <c:pt idx="85">
                  <c:v>681.29206905796195</c:v>
                </c:pt>
                <c:pt idx="86">
                  <c:v>735.64225445964166</c:v>
                </c:pt>
                <c:pt idx="87">
                  <c:v>794.32823472428208</c:v>
                </c:pt>
                <c:pt idx="88">
                  <c:v>857.69589859089422</c:v>
                </c:pt>
                <c:pt idx="89">
                  <c:v>926.11872812879471</c:v>
                </c:pt>
                <c:pt idx="90">
                  <c:v>1000</c:v>
                </c:pt>
                <c:pt idx="91">
                  <c:v>1079.7751623277097</c:v>
                </c:pt>
                <c:pt idx="92">
                  <c:v>1165.914401179833</c:v>
                </c:pt>
                <c:pt idx="93">
                  <c:v>1258.925411794168</c:v>
                </c:pt>
                <c:pt idx="94">
                  <c:v>1359.3563908785268</c:v>
                </c:pt>
                <c:pt idx="95">
                  <c:v>1467.7992676220699</c:v>
                </c:pt>
                <c:pt idx="96">
                  <c:v>1584.8931924611156</c:v>
                </c:pt>
                <c:pt idx="97">
                  <c:v>1711.3283041617822</c:v>
                </c:pt>
                <c:pt idx="98">
                  <c:v>1847.8497974222912</c:v>
                </c:pt>
                <c:pt idx="99">
                  <c:v>1995.2623149688804</c:v>
                </c:pt>
                <c:pt idx="100">
                  <c:v>2154.4346900318851</c:v>
                </c:pt>
                <c:pt idx="101">
                  <c:v>2326.3050671536284</c:v>
                </c:pt>
                <c:pt idx="102">
                  <c:v>2511.8864315095811</c:v>
                </c:pt>
                <c:pt idx="103">
                  <c:v>2712.2725793320301</c:v>
                </c:pt>
                <c:pt idx="104">
                  <c:v>2928.6445646252391</c:v>
                </c:pt>
                <c:pt idx="105">
                  <c:v>3162.2776601683804</c:v>
                </c:pt>
                <c:pt idx="106">
                  <c:v>3414.5488738336035</c:v>
                </c:pt>
                <c:pt idx="107">
                  <c:v>3686.9450645195784</c:v>
                </c:pt>
                <c:pt idx="108">
                  <c:v>3981.0717055349769</c:v>
                </c:pt>
                <c:pt idx="109">
                  <c:v>4298.6623470822833</c:v>
                </c:pt>
                <c:pt idx="110">
                  <c:v>4641.5888336127782</c:v>
                </c:pt>
                <c:pt idx="111">
                  <c:v>5011.8723362727324</c:v>
                </c:pt>
                <c:pt idx="112">
                  <c:v>5411.6952654646393</c:v>
                </c:pt>
                <c:pt idx="113">
                  <c:v>5843.4141337351803</c:v>
                </c:pt>
                <c:pt idx="114">
                  <c:v>6309.5734448019384</c:v>
                </c:pt>
                <c:pt idx="115">
                  <c:v>6812.9206905796218</c:v>
                </c:pt>
                <c:pt idx="116">
                  <c:v>7356.4225445964248</c:v>
                </c:pt>
                <c:pt idx="117">
                  <c:v>7943.2823472428154</c:v>
                </c:pt>
                <c:pt idx="118">
                  <c:v>8576.9589859089447</c:v>
                </c:pt>
                <c:pt idx="119">
                  <c:v>9261.187281287941</c:v>
                </c:pt>
                <c:pt idx="120">
                  <c:v>10000</c:v>
                </c:pt>
                <c:pt idx="121">
                  <c:v>10797.751623277109</c:v>
                </c:pt>
                <c:pt idx="122">
                  <c:v>11659.144011798313</c:v>
                </c:pt>
                <c:pt idx="123">
                  <c:v>12589.254117941671</c:v>
                </c:pt>
                <c:pt idx="124">
                  <c:v>13593.563908785283</c:v>
                </c:pt>
                <c:pt idx="125">
                  <c:v>14677.992676220729</c:v>
                </c:pt>
                <c:pt idx="126">
                  <c:v>15848.931924611146</c:v>
                </c:pt>
                <c:pt idx="127">
                  <c:v>17113.283041617826</c:v>
                </c:pt>
                <c:pt idx="128">
                  <c:v>18478.497974222933</c:v>
                </c:pt>
                <c:pt idx="129">
                  <c:v>19952.623149688792</c:v>
                </c:pt>
                <c:pt idx="130">
                  <c:v>21544.346900318837</c:v>
                </c:pt>
                <c:pt idx="131">
                  <c:v>23263.050671536268</c:v>
                </c:pt>
                <c:pt idx="132">
                  <c:v>25118.86431509586</c:v>
                </c:pt>
                <c:pt idx="133">
                  <c:v>27122.725793320307</c:v>
                </c:pt>
                <c:pt idx="134">
                  <c:v>29286.445646252399</c:v>
                </c:pt>
                <c:pt idx="135">
                  <c:v>31622.77660168384</c:v>
                </c:pt>
                <c:pt idx="136">
                  <c:v>34145.488738336011</c:v>
                </c:pt>
                <c:pt idx="137">
                  <c:v>36869.450645195764</c:v>
                </c:pt>
                <c:pt idx="138">
                  <c:v>39810.717055349742</c:v>
                </c:pt>
                <c:pt idx="139">
                  <c:v>42986.62347082288</c:v>
                </c:pt>
                <c:pt idx="140">
                  <c:v>46415.888336127835</c:v>
                </c:pt>
                <c:pt idx="141">
                  <c:v>50118.723362727294</c:v>
                </c:pt>
                <c:pt idx="142">
                  <c:v>54116.952654646455</c:v>
                </c:pt>
                <c:pt idx="143">
                  <c:v>58434.141337351764</c:v>
                </c:pt>
                <c:pt idx="144">
                  <c:v>63095.734448019342</c:v>
                </c:pt>
                <c:pt idx="145">
                  <c:v>68129.206905796163</c:v>
                </c:pt>
                <c:pt idx="146">
                  <c:v>73564.225445964199</c:v>
                </c:pt>
                <c:pt idx="147">
                  <c:v>79432.823472428237</c:v>
                </c:pt>
                <c:pt idx="148">
                  <c:v>85769.589859089538</c:v>
                </c:pt>
                <c:pt idx="149">
                  <c:v>92611.872812879505</c:v>
                </c:pt>
                <c:pt idx="150">
                  <c:v>100000</c:v>
                </c:pt>
                <c:pt idx="151">
                  <c:v>107977.51623277101</c:v>
                </c:pt>
                <c:pt idx="152">
                  <c:v>116591.44011798326</c:v>
                </c:pt>
                <c:pt idx="153">
                  <c:v>125892.54117941685</c:v>
                </c:pt>
                <c:pt idx="154">
                  <c:v>135935.63908785273</c:v>
                </c:pt>
                <c:pt idx="155">
                  <c:v>146779.92676220718</c:v>
                </c:pt>
                <c:pt idx="156">
                  <c:v>158489.31924611164</c:v>
                </c:pt>
                <c:pt idx="157">
                  <c:v>171132.83041617845</c:v>
                </c:pt>
                <c:pt idx="158">
                  <c:v>184784.97974222922</c:v>
                </c:pt>
                <c:pt idx="159">
                  <c:v>199526.23149688813</c:v>
                </c:pt>
                <c:pt idx="160">
                  <c:v>215443.46900318863</c:v>
                </c:pt>
                <c:pt idx="161">
                  <c:v>232630.50671536254</c:v>
                </c:pt>
                <c:pt idx="162">
                  <c:v>251188.64315095844</c:v>
                </c:pt>
                <c:pt idx="163">
                  <c:v>271227.25793320336</c:v>
                </c:pt>
                <c:pt idx="164">
                  <c:v>292864.45646252431</c:v>
                </c:pt>
                <c:pt idx="165">
                  <c:v>316227.7660168382</c:v>
                </c:pt>
                <c:pt idx="166">
                  <c:v>341454.88738336053</c:v>
                </c:pt>
                <c:pt idx="167">
                  <c:v>368694.50645195803</c:v>
                </c:pt>
                <c:pt idx="168">
                  <c:v>398107.17055349716</c:v>
                </c:pt>
                <c:pt idx="169">
                  <c:v>429866.2347082285</c:v>
                </c:pt>
                <c:pt idx="170">
                  <c:v>464158.88336127886</c:v>
                </c:pt>
                <c:pt idx="171">
                  <c:v>501187.23362727347</c:v>
                </c:pt>
                <c:pt idx="172">
                  <c:v>541169.52654646419</c:v>
                </c:pt>
                <c:pt idx="173">
                  <c:v>584341.41337351827</c:v>
                </c:pt>
                <c:pt idx="174">
                  <c:v>630957.34448019415</c:v>
                </c:pt>
                <c:pt idx="175">
                  <c:v>681292.06905796123</c:v>
                </c:pt>
                <c:pt idx="176">
                  <c:v>735642.25445964152</c:v>
                </c:pt>
                <c:pt idx="177">
                  <c:v>794328.23472428333</c:v>
                </c:pt>
                <c:pt idx="178">
                  <c:v>857695.89859089628</c:v>
                </c:pt>
                <c:pt idx="179">
                  <c:v>926118.72812879446</c:v>
                </c:pt>
                <c:pt idx="180">
                  <c:v>1000000</c:v>
                </c:pt>
                <c:pt idx="181">
                  <c:v>1079775.1623277115</c:v>
                </c:pt>
                <c:pt idx="182">
                  <c:v>1165914.4011798317</c:v>
                </c:pt>
                <c:pt idx="183">
                  <c:v>1258925.4117941677</c:v>
                </c:pt>
                <c:pt idx="184">
                  <c:v>1359356.3908785288</c:v>
                </c:pt>
                <c:pt idx="185">
                  <c:v>1467799.2676220734</c:v>
                </c:pt>
                <c:pt idx="186">
                  <c:v>1584893.1924611153</c:v>
                </c:pt>
                <c:pt idx="187">
                  <c:v>1711328.3041617833</c:v>
                </c:pt>
                <c:pt idx="188">
                  <c:v>1847849.797422294</c:v>
                </c:pt>
                <c:pt idx="189">
                  <c:v>1995262.31496888</c:v>
                </c:pt>
                <c:pt idx="190">
                  <c:v>2154434.6900318847</c:v>
                </c:pt>
                <c:pt idx="191">
                  <c:v>2326305.067153628</c:v>
                </c:pt>
                <c:pt idx="192">
                  <c:v>2511886.431509587</c:v>
                </c:pt>
                <c:pt idx="193">
                  <c:v>2712272.5793320318</c:v>
                </c:pt>
                <c:pt idx="194">
                  <c:v>2928644.5646252413</c:v>
                </c:pt>
                <c:pt idx="195">
                  <c:v>3162277.6601683851</c:v>
                </c:pt>
                <c:pt idx="196">
                  <c:v>3414548.8738336028</c:v>
                </c:pt>
                <c:pt idx="197">
                  <c:v>3686945.0645195777</c:v>
                </c:pt>
                <c:pt idx="198">
                  <c:v>3981071.705534976</c:v>
                </c:pt>
                <c:pt idx="199">
                  <c:v>4298662.3470822899</c:v>
                </c:pt>
                <c:pt idx="200">
                  <c:v>4641588.8336127857</c:v>
                </c:pt>
                <c:pt idx="201">
                  <c:v>5011872.3362727314</c:v>
                </c:pt>
                <c:pt idx="202">
                  <c:v>5411695.2654646477</c:v>
                </c:pt>
                <c:pt idx="203">
                  <c:v>5843414.133735179</c:v>
                </c:pt>
                <c:pt idx="204">
                  <c:v>6309573.4448019378</c:v>
                </c:pt>
                <c:pt idx="205">
                  <c:v>6812920.6905796202</c:v>
                </c:pt>
                <c:pt idx="206">
                  <c:v>7356422.5445964225</c:v>
                </c:pt>
                <c:pt idx="207">
                  <c:v>7943282.3472428275</c:v>
                </c:pt>
                <c:pt idx="208">
                  <c:v>8576958.9859089572</c:v>
                </c:pt>
                <c:pt idx="209">
                  <c:v>9261187.2812879551</c:v>
                </c:pt>
                <c:pt idx="210">
                  <c:v>10000000</c:v>
                </c:pt>
              </c:numCache>
            </c:numRef>
          </c:xVal>
          <c:yVal>
            <c:numRef>
              <c:f>'Small Signal'!$P$2:$P$212</c:f>
              <c:numCache>
                <c:formatCode>General</c:formatCode>
                <c:ptCount val="211"/>
                <c:pt idx="0">
                  <c:v>62.126700714276666</c:v>
                </c:pt>
                <c:pt idx="1">
                  <c:v>62.126641544611978</c:v>
                </c:pt>
                <c:pt idx="2">
                  <c:v>62.126572558864851</c:v>
                </c:pt>
                <c:pt idx="3">
                  <c:v>62.126492128771247</c:v>
                </c:pt>
                <c:pt idx="4">
                  <c:v>62.126398356045868</c:v>
                </c:pt>
                <c:pt idx="5">
                  <c:v>62.126289027629333</c:v>
                </c:pt>
                <c:pt idx="6">
                  <c:v>62.126161563526111</c:v>
                </c:pt>
                <c:pt idx="7">
                  <c:v>62.126012956011976</c:v>
                </c:pt>
                <c:pt idx="8">
                  <c:v>62.12583969878628</c:v>
                </c:pt>
                <c:pt idx="9">
                  <c:v>62.125637704411282</c:v>
                </c:pt>
                <c:pt idx="10">
                  <c:v>62.125402208112497</c:v>
                </c:pt>
                <c:pt idx="11">
                  <c:v>62.125127655695707</c:v>
                </c:pt>
                <c:pt idx="12">
                  <c:v>62.124807572974696</c:v>
                </c:pt>
                <c:pt idx="13">
                  <c:v>62.124434413679865</c:v>
                </c:pt>
                <c:pt idx="14">
                  <c:v>62.123999382330865</c:v>
                </c:pt>
                <c:pt idx="15">
                  <c:v>62.123492227986397</c:v>
                </c:pt>
                <c:pt idx="16">
                  <c:v>62.122901004139202</c:v>
                </c:pt>
                <c:pt idx="17">
                  <c:v>62.122211789266515</c:v>
                </c:pt>
                <c:pt idx="18">
                  <c:v>62.121408361685504</c:v>
                </c:pt>
                <c:pt idx="19">
                  <c:v>62.1204718213719</c:v>
                </c:pt>
                <c:pt idx="20">
                  <c:v>62.119380150264988</c:v>
                </c:pt>
                <c:pt idx="21">
                  <c:v>62.118107701296893</c:v>
                </c:pt>
                <c:pt idx="22">
                  <c:v>62.116624604910903</c:v>
                </c:pt>
                <c:pt idx="23">
                  <c:v>62.114896080193787</c:v>
                </c:pt>
                <c:pt idx="24">
                  <c:v>62.11288163588182</c:v>
                </c:pt>
                <c:pt idx="25">
                  <c:v>62.110534144454462</c:v>
                </c:pt>
                <c:pt idx="26">
                  <c:v>62.107798770251392</c:v>
                </c:pt>
                <c:pt idx="27">
                  <c:v>62.104611730095741</c:v>
                </c:pt>
                <c:pt idx="28">
                  <c:v>62.100898862268835</c:v>
                </c:pt>
                <c:pt idx="29">
                  <c:v>62.096573976941002</c:v>
                </c:pt>
                <c:pt idx="30">
                  <c:v>62.091536958386413</c:v>
                </c:pt>
                <c:pt idx="31">
                  <c:v>62.08567158664713</c:v>
                </c:pt>
                <c:pt idx="32">
                  <c:v>62.078843043940289</c:v>
                </c:pt>
                <c:pt idx="33">
                  <c:v>62.070895069334043</c:v>
                </c:pt>
                <c:pt idx="34">
                  <c:v>62.061646724417798</c:v>
                </c:pt>
                <c:pt idx="35">
                  <c:v>62.050888733416826</c:v>
                </c:pt>
                <c:pt idx="36">
                  <c:v>62.038379364155233</c:v>
                </c:pt>
                <c:pt idx="37">
                  <c:v>62.02383982238981</c:v>
                </c:pt>
                <c:pt idx="38">
                  <c:v>62.006949142504169</c:v>
                </c:pt>
                <c:pt idx="39">
                  <c:v>61.98733857383489</c:v>
                </c:pt>
                <c:pt idx="40">
                  <c:v>61.964585485768552</c:v>
                </c:pt>
                <c:pt idx="41">
                  <c:v>61.938206848214008</c:v>
                </c:pt>
                <c:pt idx="42">
                  <c:v>61.907652389332249</c:v>
                </c:pt>
                <c:pt idx="43">
                  <c:v>61.872297591652831</c:v>
                </c:pt>
                <c:pt idx="44">
                  <c:v>61.831436762739528</c:v>
                </c:pt>
                <c:pt idx="45">
                  <c:v>61.784276508281025</c:v>
                </c:pt>
                <c:pt idx="46">
                  <c:v>61.729930043089034</c:v>
                </c:pt>
                <c:pt idx="47">
                  <c:v>61.667412895461936</c:v>
                </c:pt>
                <c:pt idx="48">
                  <c:v>61.595640685201609</c:v>
                </c:pt>
                <c:pt idx="49">
                  <c:v>61.51342977238842</c:v>
                </c:pt>
                <c:pt idx="50">
                  <c:v>61.419501663554421</c:v>
                </c:pt>
                <c:pt idx="51">
                  <c:v>61.312492098090402</c:v>
                </c:pt>
                <c:pt idx="52">
                  <c:v>61.190965688916449</c:v>
                </c:pt>
                <c:pt idx="53">
                  <c:v>61.053436823847569</c:v>
                </c:pt>
                <c:pt idx="54">
                  <c:v>60.898397218166778</c:v>
                </c:pt>
                <c:pt idx="55">
                  <c:v>60.724350028924796</c:v>
                </c:pt>
                <c:pt idx="56">
                  <c:v>60.529849806716662</c:v>
                </c:pt>
                <c:pt idx="57">
                  <c:v>60.313546816012931</c:v>
                </c:pt>
                <c:pt idx="58">
                  <c:v>60.074233486276249</c:v>
                </c:pt>
                <c:pt idx="59">
                  <c:v>59.810890085039745</c:v>
                </c:pt>
                <c:pt idx="60">
                  <c:v>59.522726271022428</c:v>
                </c:pt>
                <c:pt idx="61">
                  <c:v>59.209215117992962</c:v>
                </c:pt>
                <c:pt idx="62">
                  <c:v>58.870116576953457</c:v>
                </c:pt>
                <c:pt idx="63">
                  <c:v>58.505488163133123</c:v>
                </c:pt>
                <c:pt idx="64">
                  <c:v>58.11568181925665</c:v>
                </c:pt>
                <c:pt idx="65">
                  <c:v>57.701327241385123</c:v>
                </c:pt>
                <c:pt idx="66">
                  <c:v>57.263303240898125</c:v>
                </c:pt>
                <c:pt idx="67">
                  <c:v>56.80269975012169</c:v>
                </c:pt>
                <c:pt idx="68">
                  <c:v>56.320773714424647</c:v>
                </c:pt>
                <c:pt idx="69">
                  <c:v>55.818902294525536</c:v>
                </c:pt>
                <c:pt idx="70">
                  <c:v>55.29853656462717</c:v>
                </c:pt>
                <c:pt idx="71">
                  <c:v>54.761158338922726</c:v>
                </c:pt>
                <c:pt idx="72">
                  <c:v>54.208242028454521</c:v>
                </c:pt>
                <c:pt idx="73">
                  <c:v>53.641222657724597</c:v>
                </c:pt>
                <c:pt idx="74">
                  <c:v>53.061470463685161</c:v>
                </c:pt>
                <c:pt idx="75">
                  <c:v>52.470271926903173</c:v>
                </c:pt>
                <c:pt idx="76">
                  <c:v>51.868816674403007</c:v>
                </c:pt>
                <c:pt idx="77">
                  <c:v>51.258189443155089</c:v>
                </c:pt>
                <c:pt idx="78">
                  <c:v>50.639366179514489</c:v>
                </c:pt>
                <c:pt idx="79">
                  <c:v>50.013213340930974</c:v>
                </c:pt>
                <c:pt idx="80">
                  <c:v>49.380489528664199</c:v>
                </c:pt>
                <c:pt idx="81">
                  <c:v>48.741848684796103</c:v>
                </c:pt>
                <c:pt idx="82">
                  <c:v>48.097844210745933</c:v>
                </c:pt>
                <c:pt idx="83">
                  <c:v>47.448933491828349</c:v>
                </c:pt>
                <c:pt idx="84">
                  <c:v>46.795482433400366</c:v>
                </c:pt>
                <c:pt idx="85">
                  <c:v>46.137769724023286</c:v>
                </c:pt>
                <c:pt idx="86">
                  <c:v>45.4759906386426</c:v>
                </c:pt>
                <c:pt idx="87">
                  <c:v>44.810260281394029</c:v>
                </c:pt>
                <c:pt idx="88">
                  <c:v>44.140616246089046</c:v>
                </c:pt>
                <c:pt idx="89">
                  <c:v>43.467020746384975</c:v>
                </c:pt>
                <c:pt idx="90">
                  <c:v>42.789362340948031</c:v>
                </c:pt>
                <c:pt idx="91">
                  <c:v>42.107457455175805</c:v>
                </c:pt>
                <c:pt idx="92">
                  <c:v>41.421051983058618</c:v>
                </c:pt>
                <c:pt idx="93">
                  <c:v>40.729823341871388</c:v>
                </c:pt>
                <c:pt idx="94">
                  <c:v>40.033383447738011</c:v>
                </c:pt>
                <c:pt idx="95">
                  <c:v>39.331283177506208</c:v>
                </c:pt>
                <c:pt idx="96">
                  <c:v>38.623018973201056</c:v>
                </c:pt>
                <c:pt idx="97">
                  <c:v>37.908042315259813</c:v>
                </c:pt>
                <c:pt idx="98">
                  <c:v>37.185772818948074</c:v>
                </c:pt>
                <c:pt idx="99">
                  <c:v>36.455615667445528</c:v>
                </c:pt>
                <c:pt idx="100">
                  <c:v>35.716983952907164</c:v>
                </c:pt>
                <c:pt idx="101">
                  <c:v>34.969326220575773</c:v>
                </c:pt>
                <c:pt idx="102">
                  <c:v>34.21215907487526</c:v>
                </c:pt>
                <c:pt idx="103">
                  <c:v>33.445104102024004</c:v>
                </c:pt>
                <c:pt idx="104">
                  <c:v>32.667927612962714</c:v>
                </c:pt>
                <c:pt idx="105">
                  <c:v>31.880580877044316</c:v>
                </c:pt>
                <c:pt idx="106">
                  <c:v>31.083237712292878</c:v>
                </c:pt>
                <c:pt idx="107">
                  <c:v>30.276325675350542</c:v>
                </c:pt>
                <c:pt idx="108">
                  <c:v>29.460546827340718</c:v>
                </c:pt>
                <c:pt idx="109">
                  <c:v>28.636884298210916</c:v>
                </c:pt>
                <c:pt idx="110">
                  <c:v>27.806591726280409</c:v>
                </c:pt>
                <c:pt idx="111">
                  <c:v>26.971164100504879</c:v>
                </c:pt>
                <c:pt idx="112">
                  <c:v>26.132290439417819</c:v>
                </c:pt>
                <c:pt idx="113">
                  <c:v>25.291790840208421</c:v>
                </c:pt>
                <c:pt idx="114">
                  <c:v>24.451542383559001</c:v>
                </c:pt>
                <c:pt idx="115">
                  <c:v>23.613399837800397</c:v>
                </c:pt>
                <c:pt idx="116">
                  <c:v>22.779117796589329</c:v>
                </c:pt>
                <c:pt idx="117">
                  <c:v>21.950280674655996</c:v>
                </c:pt>
                <c:pt idx="118">
                  <c:v>21.128245916393094</c:v>
                </c:pt>
                <c:pt idx="119">
                  <c:v>20.314104045434821</c:v>
                </c:pt>
                <c:pt idx="120">
                  <c:v>19.508657116220164</c:v>
                </c:pt>
                <c:pt idx="121">
                  <c:v>18.712415074750083</c:v>
                </c:pt>
                <c:pt idx="122">
                  <c:v>17.925607807878105</c:v>
                </c:pt>
                <c:pt idx="123">
                  <c:v>17.148209469147943</c:v>
                </c:pt>
                <c:pt idx="124">
                  <c:v>16.379971095279416</c:v>
                </c:pt>
                <c:pt idx="125">
                  <c:v>15.620457529644318</c:v>
                </c:pt>
                <c:pt idx="126">
                  <c:v>14.869085118647828</c:v>
                </c:pt>
                <c:pt idx="127">
                  <c:v>14.125157373931682</c:v>
                </c:pt>
                <c:pt idx="128">
                  <c:v>13.387896630076233</c:v>
                </c:pt>
                <c:pt idx="129">
                  <c:v>12.656470538861075</c:v>
                </c:pt>
                <c:pt idx="130">
                  <c:v>11.930012938382866</c:v>
                </c:pt>
                <c:pt idx="131">
                  <c:v>11.207639175764379</c:v>
                </c:pt>
                <c:pt idx="132">
                  <c:v>10.488456340164111</c:v>
                </c:pt>
                <c:pt idx="133">
                  <c:v>9.7715690968770907</c:v>
                </c:pt>
                <c:pt idx="134">
                  <c:v>9.0560819341110737</c:v>
                </c:pt>
                <c:pt idx="135">
                  <c:v>8.341098674557804</c:v>
                </c:pt>
                <c:pt idx="136">
                  <c:v>7.6257200932841034</c:v>
                </c:pt>
                <c:pt idx="137">
                  <c:v>6.9090404434331028</c:v>
                </c:pt>
                <c:pt idx="138">
                  <c:v>6.1901436346083694</c:v>
                </c:pt>
                <c:pt idx="139">
                  <c:v>5.4680997395828888</c:v>
                </c:pt>
                <c:pt idx="140">
                  <c:v>4.7419624190637792</c:v>
                </c:pt>
                <c:pt idx="141">
                  <c:v>4.0107677412918408</c:v>
                </c:pt>
                <c:pt idx="142">
                  <c:v>3.2735347193190378</c:v>
                </c:pt>
                <c:pt idx="143">
                  <c:v>2.529267680644713</c:v>
                </c:pt>
                <c:pt idx="144">
                  <c:v>1.7769603148066826</c:v>
                </c:pt>
                <c:pt idx="145">
                  <c:v>1.0156009218711468</c:v>
                </c:pt>
                <c:pt idx="146">
                  <c:v>0.2441780374479173</c:v>
                </c:pt>
                <c:pt idx="147">
                  <c:v>-0.53831470629507905</c:v>
                </c:pt>
                <c:pt idx="148">
                  <c:v>-1.3328758273320584</c:v>
                </c:pt>
                <c:pt idx="149">
                  <c:v>-2.1404966852532068</c:v>
                </c:pt>
                <c:pt idx="150">
                  <c:v>-2.9621666492340522</c:v>
                </c:pt>
                <c:pt idx="151">
                  <c:v>-3.7988831224665374</c:v>
                </c:pt>
                <c:pt idx="152">
                  <c:v>-4.6516658328921228</c:v>
                </c:pt>
                <c:pt idx="153">
                  <c:v>-5.5215736381334501</c:v>
                </c:pt>
                <c:pt idx="154">
                  <c:v>-6.4097209604547443</c:v>
                </c:pt>
                <c:pt idx="155">
                  <c:v>-7.3172901447815306</c:v>
                </c:pt>
                <c:pt idx="156">
                  <c:v>-8.2455357896061408</c:v>
                </c:pt>
                <c:pt idx="157">
                  <c:v>-9.1957776205123416</c:v>
                </c:pt>
                <c:pt idx="158">
                  <c:v>-10.169379792166122</c:v>
                </c:pt>
                <c:pt idx="159">
                  <c:v>-11.167716472132645</c:v>
                </c:pt>
                <c:pt idx="160">
                  <c:v>-12.19212587314223</c:v>
                </c:pt>
                <c:pt idx="161">
                  <c:v>-13.243857148746976</c:v>
                </c:pt>
                <c:pt idx="162">
                  <c:v>-14.324016313774894</c:v>
                </c:pt>
                <c:pt idx="163">
                  <c:v>-15.433518217905466</c:v>
                </c:pt>
                <c:pt idx="164">
                  <c:v>-16.573051347892765</c:v>
                </c:pt>
                <c:pt idx="165">
                  <c:v>-17.74306081824183</c:v>
                </c:pt>
                <c:pt idx="166">
                  <c:v>-18.94375251295255</c:v>
                </c:pt>
                <c:pt idx="167">
                  <c:v>-20.175118350565025</c:v>
                </c:pt>
                <c:pt idx="168">
                  <c:v>-21.436979586382812</c:v>
                </c:pt>
                <c:pt idx="169">
                  <c:v>-22.729042488771704</c:v>
                </c:pt>
                <c:pt idx="170">
                  <c:v>-24.050959077313181</c:v>
                </c:pt>
                <c:pt idx="171">
                  <c:v>-25.402385131670222</c:v>
                </c:pt>
                <c:pt idx="172">
                  <c:v>-26.783028367628319</c:v>
                </c:pt>
                <c:pt idx="173">
                  <c:v>-28.192681310254706</c:v>
                </c:pt>
                <c:pt idx="174">
                  <c:v>-29.631235618745265</c:v>
                </c:pt>
                <c:pt idx="175">
                  <c:v>-31.098677045617027</c:v>
                </c:pt>
                <c:pt idx="176">
                  <c:v>-32.595062506287618</c:v>
                </c:pt>
                <c:pt idx="177">
                  <c:v>-34.1204826475281</c:v>
                </c:pt>
                <c:pt idx="178">
                  <c:v>-35.675014683274583</c:v>
                </c:pt>
                <c:pt idx="179">
                  <c:v>-37.258671036956912</c:v>
                </c:pt>
                <c:pt idx="180">
                  <c:v>-38.871349467206933</c:v>
                </c:pt>
                <c:pt idx="181">
                  <c:v>-40.51278987964529</c:v>
                </c:pt>
                <c:pt idx="182">
                  <c:v>-42.182542012699642</c:v>
                </c:pt>
                <c:pt idx="183">
                  <c:v>-43.879946760805744</c:v>
                </c:pt>
                <c:pt idx="184">
                  <c:v>-45.604132252510645</c:v>
                </c:pt>
                <c:pt idx="185">
                  <c:v>-47.354024159249086</c:v>
                </c:pt>
                <c:pt idx="186">
                  <c:v>-49.128368295546267</c:v>
                </c:pt>
                <c:pt idx="187">
                  <c:v>-50.92576255796623</c:v>
                </c:pt>
                <c:pt idx="188">
                  <c:v>-52.744694730495056</c:v>
                </c:pt>
                <c:pt idx="189">
                  <c:v>-54.583582655721379</c:v>
                </c:pt>
                <c:pt idx="190">
                  <c:v>-56.440813649801022</c:v>
                </c:pt>
                <c:pt idx="191">
                  <c:v>-58.314780689938353</c:v>
                </c:pt>
                <c:pt idx="192">
                  <c:v>-60.203913677441854</c:v>
                </c:pt>
                <c:pt idx="193">
                  <c:v>-62.106704846837602</c:v>
                </c:pt>
                <c:pt idx="194">
                  <c:v>-64.02172805832889</c:v>
                </c:pt>
                <c:pt idx="195">
                  <c:v>-65.947652225772487</c:v>
                </c:pt>
                <c:pt idx="196">
                  <c:v>-67.88324948141846</c:v>
                </c:pt>
                <c:pt idx="197">
                  <c:v>-69.827398874980815</c:v>
                </c:pt>
                <c:pt idx="198">
                  <c:v>-71.779086476524455</c:v>
                </c:pt>
                <c:pt idx="199">
                  <c:v>-73.737402733890491</c:v>
                </c:pt>
                <c:pt idx="200">
                  <c:v>-75.701537858159483</c:v>
                </c:pt>
                <c:pt idx="201">
                  <c:v>-77.670775901857056</c:v>
                </c:pt>
                <c:pt idx="202">
                  <c:v>-79.644488074371125</c:v>
                </c:pt>
                <c:pt idx="203">
                  <c:v>-81.622125720992869</c:v>
                </c:pt>
                <c:pt idx="204">
                  <c:v>-83.603213284148424</c:v>
                </c:pt>
                <c:pt idx="205">
                  <c:v>-85.587341471666761</c:v>
                </c:pt>
                <c:pt idx="206">
                  <c:v>-87.574160778290477</c:v>
                </c:pt>
                <c:pt idx="207">
                  <c:v>-89.56337544223787</c:v>
                </c:pt>
                <c:pt idx="208">
                  <c:v>-91.554737866665107</c:v>
                </c:pt>
                <c:pt idx="209">
                  <c:v>-93.548043494193251</c:v>
                </c:pt>
                <c:pt idx="210">
                  <c:v>-95.543126089161845</c:v>
                </c:pt>
              </c:numCache>
            </c:numRef>
          </c:yVal>
          <c:smooth val="1"/>
        </c:ser>
        <c:ser>
          <c:idx val="1"/>
          <c:order val="2"/>
          <c:tx>
            <c:v>Power Stage Gain</c:v>
          </c:tx>
          <c:spPr>
            <a:ln w="25400">
              <a:solidFill>
                <a:srgbClr val="000080"/>
              </a:solidFill>
              <a:prstDash val="solid"/>
            </a:ln>
          </c:spPr>
          <c:marker>
            <c:symbol val="none"/>
          </c:marker>
          <c:xVal>
            <c:numRef>
              <c:f>'Small Signal'!$L$2:$L$212</c:f>
              <c:numCache>
                <c:formatCode>General</c:formatCode>
                <c:ptCount val="211"/>
                <c:pt idx="0">
                  <c:v>1</c:v>
                </c:pt>
                <c:pt idx="1">
                  <c:v>1.0797751623277096</c:v>
                </c:pt>
                <c:pt idx="2">
                  <c:v>1.1659144011798317</c:v>
                </c:pt>
                <c:pt idx="3">
                  <c:v>1.2589254117941673</c:v>
                </c:pt>
                <c:pt idx="4">
                  <c:v>1.3593563908785258</c:v>
                </c:pt>
                <c:pt idx="5">
                  <c:v>1.4677992676220697</c:v>
                </c:pt>
                <c:pt idx="6">
                  <c:v>1.5848931924611136</c:v>
                </c:pt>
                <c:pt idx="7">
                  <c:v>1.7113283041617808</c:v>
                </c:pt>
                <c:pt idx="8">
                  <c:v>1.8478497974222912</c:v>
                </c:pt>
                <c:pt idx="9">
                  <c:v>1.9952623149688797</c:v>
                </c:pt>
                <c:pt idx="10">
                  <c:v>2.1544346900318838</c:v>
                </c:pt>
                <c:pt idx="11">
                  <c:v>2.3263050671536263</c:v>
                </c:pt>
                <c:pt idx="12">
                  <c:v>2.5118864315095806</c:v>
                </c:pt>
                <c:pt idx="13">
                  <c:v>2.7122725793320286</c:v>
                </c:pt>
                <c:pt idx="14">
                  <c:v>2.9286445646252366</c:v>
                </c:pt>
                <c:pt idx="15">
                  <c:v>3.1622776601683795</c:v>
                </c:pt>
                <c:pt idx="16">
                  <c:v>3.4145488738336023</c:v>
                </c:pt>
                <c:pt idx="17">
                  <c:v>3.6869450645195756</c:v>
                </c:pt>
                <c:pt idx="18">
                  <c:v>3.9810717055349727</c:v>
                </c:pt>
                <c:pt idx="19">
                  <c:v>4.2986623470822769</c:v>
                </c:pt>
                <c:pt idx="20">
                  <c:v>4.6415888336127793</c:v>
                </c:pt>
                <c:pt idx="21">
                  <c:v>5.0118723362727229</c:v>
                </c:pt>
                <c:pt idx="22">
                  <c:v>5.4116952654646369</c:v>
                </c:pt>
                <c:pt idx="23">
                  <c:v>5.8434141337351777</c:v>
                </c:pt>
                <c:pt idx="24">
                  <c:v>6.3095734448019343</c:v>
                </c:pt>
                <c:pt idx="25">
                  <c:v>6.812920690579614</c:v>
                </c:pt>
                <c:pt idx="26">
                  <c:v>7.3564225445964153</c:v>
                </c:pt>
                <c:pt idx="27">
                  <c:v>7.9432823472428176</c:v>
                </c:pt>
                <c:pt idx="28">
                  <c:v>8.5769589859089415</c:v>
                </c:pt>
                <c:pt idx="29">
                  <c:v>9.2611872812879383</c:v>
                </c:pt>
                <c:pt idx="30">
                  <c:v>10</c:v>
                </c:pt>
                <c:pt idx="31">
                  <c:v>10.797751623277103</c:v>
                </c:pt>
                <c:pt idx="32">
                  <c:v>11.659144011798322</c:v>
                </c:pt>
                <c:pt idx="33">
                  <c:v>12.58925411794168</c:v>
                </c:pt>
                <c:pt idx="34">
                  <c:v>13.593563908785256</c:v>
                </c:pt>
                <c:pt idx="35">
                  <c:v>14.677992676220699</c:v>
                </c:pt>
                <c:pt idx="36">
                  <c:v>15.848931924611136</c:v>
                </c:pt>
                <c:pt idx="37">
                  <c:v>17.113283041617812</c:v>
                </c:pt>
                <c:pt idx="38">
                  <c:v>18.478497974222911</c:v>
                </c:pt>
                <c:pt idx="39">
                  <c:v>19.952623149688804</c:v>
                </c:pt>
                <c:pt idx="40">
                  <c:v>21.544346900318843</c:v>
                </c:pt>
                <c:pt idx="41">
                  <c:v>23.263050671536273</c:v>
                </c:pt>
                <c:pt idx="42">
                  <c:v>25.118864315095799</c:v>
                </c:pt>
                <c:pt idx="43">
                  <c:v>27.122725793320289</c:v>
                </c:pt>
                <c:pt idx="44">
                  <c:v>29.286445646252368</c:v>
                </c:pt>
                <c:pt idx="45">
                  <c:v>31.622776601683803</c:v>
                </c:pt>
                <c:pt idx="46">
                  <c:v>34.145488738336034</c:v>
                </c:pt>
                <c:pt idx="47">
                  <c:v>36.869450645195769</c:v>
                </c:pt>
                <c:pt idx="48">
                  <c:v>39.810717055349755</c:v>
                </c:pt>
                <c:pt idx="49">
                  <c:v>42.986623470822771</c:v>
                </c:pt>
                <c:pt idx="50">
                  <c:v>46.415888336127807</c:v>
                </c:pt>
                <c:pt idx="51">
                  <c:v>50.118723362727238</c:v>
                </c:pt>
                <c:pt idx="52">
                  <c:v>54.11695265464639</c:v>
                </c:pt>
                <c:pt idx="53">
                  <c:v>58.434141337351775</c:v>
                </c:pt>
                <c:pt idx="54">
                  <c:v>63.095734448019364</c:v>
                </c:pt>
                <c:pt idx="55">
                  <c:v>68.129206905796124</c:v>
                </c:pt>
                <c:pt idx="56">
                  <c:v>73.564225445964155</c:v>
                </c:pt>
                <c:pt idx="57">
                  <c:v>79.432823472428197</c:v>
                </c:pt>
                <c:pt idx="58">
                  <c:v>85.769589859089479</c:v>
                </c:pt>
                <c:pt idx="59">
                  <c:v>92.611872812879369</c:v>
                </c:pt>
                <c:pt idx="60">
                  <c:v>100</c:v>
                </c:pt>
                <c:pt idx="61">
                  <c:v>107.97751623277095</c:v>
                </c:pt>
                <c:pt idx="62">
                  <c:v>116.59144011798328</c:v>
                </c:pt>
                <c:pt idx="63">
                  <c:v>125.89254117941677</c:v>
                </c:pt>
                <c:pt idx="64">
                  <c:v>135.93563908785265</c:v>
                </c:pt>
                <c:pt idx="65">
                  <c:v>146.77992676220697</c:v>
                </c:pt>
                <c:pt idx="66">
                  <c:v>158.48931924611153</c:v>
                </c:pt>
                <c:pt idx="67">
                  <c:v>171.13283041617817</c:v>
                </c:pt>
                <c:pt idx="68">
                  <c:v>184.7849797422291</c:v>
                </c:pt>
                <c:pt idx="69">
                  <c:v>199.52623149688802</c:v>
                </c:pt>
                <c:pt idx="70">
                  <c:v>215.44346900318848</c:v>
                </c:pt>
                <c:pt idx="71">
                  <c:v>232.6305067153628</c:v>
                </c:pt>
                <c:pt idx="72">
                  <c:v>251.18864315095806</c:v>
                </c:pt>
                <c:pt idx="73">
                  <c:v>271.22725793320296</c:v>
                </c:pt>
                <c:pt idx="74">
                  <c:v>292.86445646252383</c:v>
                </c:pt>
                <c:pt idx="75">
                  <c:v>316.22776601683825</c:v>
                </c:pt>
                <c:pt idx="76">
                  <c:v>341.4548873833603</c:v>
                </c:pt>
                <c:pt idx="77">
                  <c:v>368.69450645195781</c:v>
                </c:pt>
                <c:pt idx="78">
                  <c:v>398.10717055349761</c:v>
                </c:pt>
                <c:pt idx="79">
                  <c:v>429.86623470822781</c:v>
                </c:pt>
                <c:pt idx="80">
                  <c:v>464.15888336127819</c:v>
                </c:pt>
                <c:pt idx="81">
                  <c:v>501.18723362727269</c:v>
                </c:pt>
                <c:pt idx="82">
                  <c:v>541.16952654646434</c:v>
                </c:pt>
                <c:pt idx="83">
                  <c:v>584.34141337351787</c:v>
                </c:pt>
                <c:pt idx="84">
                  <c:v>630.95734448019323</c:v>
                </c:pt>
                <c:pt idx="85">
                  <c:v>681.29206905796195</c:v>
                </c:pt>
                <c:pt idx="86">
                  <c:v>735.64225445964166</c:v>
                </c:pt>
                <c:pt idx="87">
                  <c:v>794.32823472428208</c:v>
                </c:pt>
                <c:pt idx="88">
                  <c:v>857.69589859089422</c:v>
                </c:pt>
                <c:pt idx="89">
                  <c:v>926.11872812879471</c:v>
                </c:pt>
                <c:pt idx="90">
                  <c:v>1000</c:v>
                </c:pt>
                <c:pt idx="91">
                  <c:v>1079.7751623277097</c:v>
                </c:pt>
                <c:pt idx="92">
                  <c:v>1165.914401179833</c:v>
                </c:pt>
                <c:pt idx="93">
                  <c:v>1258.925411794168</c:v>
                </c:pt>
                <c:pt idx="94">
                  <c:v>1359.3563908785268</c:v>
                </c:pt>
                <c:pt idx="95">
                  <c:v>1467.7992676220699</c:v>
                </c:pt>
                <c:pt idx="96">
                  <c:v>1584.8931924611156</c:v>
                </c:pt>
                <c:pt idx="97">
                  <c:v>1711.3283041617822</c:v>
                </c:pt>
                <c:pt idx="98">
                  <c:v>1847.8497974222912</c:v>
                </c:pt>
                <c:pt idx="99">
                  <c:v>1995.2623149688804</c:v>
                </c:pt>
                <c:pt idx="100">
                  <c:v>2154.4346900318851</c:v>
                </c:pt>
                <c:pt idx="101">
                  <c:v>2326.3050671536284</c:v>
                </c:pt>
                <c:pt idx="102">
                  <c:v>2511.8864315095811</c:v>
                </c:pt>
                <c:pt idx="103">
                  <c:v>2712.2725793320301</c:v>
                </c:pt>
                <c:pt idx="104">
                  <c:v>2928.6445646252391</c:v>
                </c:pt>
                <c:pt idx="105">
                  <c:v>3162.2776601683804</c:v>
                </c:pt>
                <c:pt idx="106">
                  <c:v>3414.5488738336035</c:v>
                </c:pt>
                <c:pt idx="107">
                  <c:v>3686.9450645195784</c:v>
                </c:pt>
                <c:pt idx="108">
                  <c:v>3981.0717055349769</c:v>
                </c:pt>
                <c:pt idx="109">
                  <c:v>4298.6623470822833</c:v>
                </c:pt>
                <c:pt idx="110">
                  <c:v>4641.5888336127782</c:v>
                </c:pt>
                <c:pt idx="111">
                  <c:v>5011.8723362727324</c:v>
                </c:pt>
                <c:pt idx="112">
                  <c:v>5411.6952654646393</c:v>
                </c:pt>
                <c:pt idx="113">
                  <c:v>5843.4141337351803</c:v>
                </c:pt>
                <c:pt idx="114">
                  <c:v>6309.5734448019384</c:v>
                </c:pt>
                <c:pt idx="115">
                  <c:v>6812.9206905796218</c:v>
                </c:pt>
                <c:pt idx="116">
                  <c:v>7356.4225445964248</c:v>
                </c:pt>
                <c:pt idx="117">
                  <c:v>7943.2823472428154</c:v>
                </c:pt>
                <c:pt idx="118">
                  <c:v>8576.9589859089447</c:v>
                </c:pt>
                <c:pt idx="119">
                  <c:v>9261.187281287941</c:v>
                </c:pt>
                <c:pt idx="120">
                  <c:v>10000</c:v>
                </c:pt>
                <c:pt idx="121">
                  <c:v>10797.751623277109</c:v>
                </c:pt>
                <c:pt idx="122">
                  <c:v>11659.144011798313</c:v>
                </c:pt>
                <c:pt idx="123">
                  <c:v>12589.254117941671</c:v>
                </c:pt>
                <c:pt idx="124">
                  <c:v>13593.563908785283</c:v>
                </c:pt>
                <c:pt idx="125">
                  <c:v>14677.992676220729</c:v>
                </c:pt>
                <c:pt idx="126">
                  <c:v>15848.931924611146</c:v>
                </c:pt>
                <c:pt idx="127">
                  <c:v>17113.283041617826</c:v>
                </c:pt>
                <c:pt idx="128">
                  <c:v>18478.497974222933</c:v>
                </c:pt>
                <c:pt idx="129">
                  <c:v>19952.623149688792</c:v>
                </c:pt>
                <c:pt idx="130">
                  <c:v>21544.346900318837</c:v>
                </c:pt>
                <c:pt idx="131">
                  <c:v>23263.050671536268</c:v>
                </c:pt>
                <c:pt idx="132">
                  <c:v>25118.86431509586</c:v>
                </c:pt>
                <c:pt idx="133">
                  <c:v>27122.725793320307</c:v>
                </c:pt>
                <c:pt idx="134">
                  <c:v>29286.445646252399</c:v>
                </c:pt>
                <c:pt idx="135">
                  <c:v>31622.77660168384</c:v>
                </c:pt>
                <c:pt idx="136">
                  <c:v>34145.488738336011</c:v>
                </c:pt>
                <c:pt idx="137">
                  <c:v>36869.450645195764</c:v>
                </c:pt>
                <c:pt idx="138">
                  <c:v>39810.717055349742</c:v>
                </c:pt>
                <c:pt idx="139">
                  <c:v>42986.62347082288</c:v>
                </c:pt>
                <c:pt idx="140">
                  <c:v>46415.888336127835</c:v>
                </c:pt>
                <c:pt idx="141">
                  <c:v>50118.723362727294</c:v>
                </c:pt>
                <c:pt idx="142">
                  <c:v>54116.952654646455</c:v>
                </c:pt>
                <c:pt idx="143">
                  <c:v>58434.141337351764</c:v>
                </c:pt>
                <c:pt idx="144">
                  <c:v>63095.734448019342</c:v>
                </c:pt>
                <c:pt idx="145">
                  <c:v>68129.206905796163</c:v>
                </c:pt>
                <c:pt idx="146">
                  <c:v>73564.225445964199</c:v>
                </c:pt>
                <c:pt idx="147">
                  <c:v>79432.823472428237</c:v>
                </c:pt>
                <c:pt idx="148">
                  <c:v>85769.589859089538</c:v>
                </c:pt>
                <c:pt idx="149">
                  <c:v>92611.872812879505</c:v>
                </c:pt>
                <c:pt idx="150">
                  <c:v>100000</c:v>
                </c:pt>
                <c:pt idx="151">
                  <c:v>107977.51623277101</c:v>
                </c:pt>
                <c:pt idx="152">
                  <c:v>116591.44011798326</c:v>
                </c:pt>
                <c:pt idx="153">
                  <c:v>125892.54117941685</c:v>
                </c:pt>
                <c:pt idx="154">
                  <c:v>135935.63908785273</c:v>
                </c:pt>
                <c:pt idx="155">
                  <c:v>146779.92676220718</c:v>
                </c:pt>
                <c:pt idx="156">
                  <c:v>158489.31924611164</c:v>
                </c:pt>
                <c:pt idx="157">
                  <c:v>171132.83041617845</c:v>
                </c:pt>
                <c:pt idx="158">
                  <c:v>184784.97974222922</c:v>
                </c:pt>
                <c:pt idx="159">
                  <c:v>199526.23149688813</c:v>
                </c:pt>
                <c:pt idx="160">
                  <c:v>215443.46900318863</c:v>
                </c:pt>
                <c:pt idx="161">
                  <c:v>232630.50671536254</c:v>
                </c:pt>
                <c:pt idx="162">
                  <c:v>251188.64315095844</c:v>
                </c:pt>
                <c:pt idx="163">
                  <c:v>271227.25793320336</c:v>
                </c:pt>
                <c:pt idx="164">
                  <c:v>292864.45646252431</c:v>
                </c:pt>
                <c:pt idx="165">
                  <c:v>316227.7660168382</c:v>
                </c:pt>
                <c:pt idx="166">
                  <c:v>341454.88738336053</c:v>
                </c:pt>
                <c:pt idx="167">
                  <c:v>368694.50645195803</c:v>
                </c:pt>
                <c:pt idx="168">
                  <c:v>398107.17055349716</c:v>
                </c:pt>
                <c:pt idx="169">
                  <c:v>429866.2347082285</c:v>
                </c:pt>
                <c:pt idx="170">
                  <c:v>464158.88336127886</c:v>
                </c:pt>
                <c:pt idx="171">
                  <c:v>501187.23362727347</c:v>
                </c:pt>
                <c:pt idx="172">
                  <c:v>541169.52654646419</c:v>
                </c:pt>
                <c:pt idx="173">
                  <c:v>584341.41337351827</c:v>
                </c:pt>
                <c:pt idx="174">
                  <c:v>630957.34448019415</c:v>
                </c:pt>
                <c:pt idx="175">
                  <c:v>681292.06905796123</c:v>
                </c:pt>
                <c:pt idx="176">
                  <c:v>735642.25445964152</c:v>
                </c:pt>
                <c:pt idx="177">
                  <c:v>794328.23472428333</c:v>
                </c:pt>
                <c:pt idx="178">
                  <c:v>857695.89859089628</c:v>
                </c:pt>
                <c:pt idx="179">
                  <c:v>926118.72812879446</c:v>
                </c:pt>
                <c:pt idx="180">
                  <c:v>1000000</c:v>
                </c:pt>
                <c:pt idx="181">
                  <c:v>1079775.1623277115</c:v>
                </c:pt>
                <c:pt idx="182">
                  <c:v>1165914.4011798317</c:v>
                </c:pt>
                <c:pt idx="183">
                  <c:v>1258925.4117941677</c:v>
                </c:pt>
                <c:pt idx="184">
                  <c:v>1359356.3908785288</c:v>
                </c:pt>
                <c:pt idx="185">
                  <c:v>1467799.2676220734</c:v>
                </c:pt>
                <c:pt idx="186">
                  <c:v>1584893.1924611153</c:v>
                </c:pt>
                <c:pt idx="187">
                  <c:v>1711328.3041617833</c:v>
                </c:pt>
                <c:pt idx="188">
                  <c:v>1847849.797422294</c:v>
                </c:pt>
                <c:pt idx="189">
                  <c:v>1995262.31496888</c:v>
                </c:pt>
                <c:pt idx="190">
                  <c:v>2154434.6900318847</c:v>
                </c:pt>
                <c:pt idx="191">
                  <c:v>2326305.067153628</c:v>
                </c:pt>
                <c:pt idx="192">
                  <c:v>2511886.431509587</c:v>
                </c:pt>
                <c:pt idx="193">
                  <c:v>2712272.5793320318</c:v>
                </c:pt>
                <c:pt idx="194">
                  <c:v>2928644.5646252413</c:v>
                </c:pt>
                <c:pt idx="195">
                  <c:v>3162277.6601683851</c:v>
                </c:pt>
                <c:pt idx="196">
                  <c:v>3414548.8738336028</c:v>
                </c:pt>
                <c:pt idx="197">
                  <c:v>3686945.0645195777</c:v>
                </c:pt>
                <c:pt idx="198">
                  <c:v>3981071.705534976</c:v>
                </c:pt>
                <c:pt idx="199">
                  <c:v>4298662.3470822899</c:v>
                </c:pt>
                <c:pt idx="200">
                  <c:v>4641588.8336127857</c:v>
                </c:pt>
                <c:pt idx="201">
                  <c:v>5011872.3362727314</c:v>
                </c:pt>
                <c:pt idx="202">
                  <c:v>5411695.2654646477</c:v>
                </c:pt>
                <c:pt idx="203">
                  <c:v>5843414.133735179</c:v>
                </c:pt>
                <c:pt idx="204">
                  <c:v>6309573.4448019378</c:v>
                </c:pt>
                <c:pt idx="205">
                  <c:v>6812920.6905796202</c:v>
                </c:pt>
                <c:pt idx="206">
                  <c:v>7356422.5445964225</c:v>
                </c:pt>
                <c:pt idx="207">
                  <c:v>7943282.3472428275</c:v>
                </c:pt>
                <c:pt idx="208">
                  <c:v>8576958.9859089572</c:v>
                </c:pt>
                <c:pt idx="209">
                  <c:v>9261187.2812879551</c:v>
                </c:pt>
                <c:pt idx="210">
                  <c:v>10000000</c:v>
                </c:pt>
              </c:numCache>
            </c:numRef>
          </c:xVal>
          <c:yVal>
            <c:numRef>
              <c:f>'Small Signal'!$N$2:$N$212</c:f>
              <c:numCache>
                <c:formatCode>General</c:formatCode>
                <c:ptCount val="211"/>
                <c:pt idx="0">
                  <c:v>9.1386916489550796</c:v>
                </c:pt>
                <c:pt idx="1">
                  <c:v>9.1386916116906285</c:v>
                </c:pt>
                <c:pt idx="2">
                  <c:v>9.1386915682434129</c:v>
                </c:pt>
                <c:pt idx="3">
                  <c:v>9.1386915175877768</c:v>
                </c:pt>
                <c:pt idx="4">
                  <c:v>9.1386914585275694</c:v>
                </c:pt>
                <c:pt idx="5">
                  <c:v>9.1386913896683915</c:v>
                </c:pt>
                <c:pt idx="6">
                  <c:v>9.1386913093845141</c:v>
                </c:pt>
                <c:pt idx="7">
                  <c:v>9.1386912157803728</c:v>
                </c:pt>
                <c:pt idx="8">
                  <c:v>9.1386911066460073</c:v>
                </c:pt>
                <c:pt idx="9">
                  <c:v>9.1386909794046769</c:v>
                </c:pt>
                <c:pt idx="10">
                  <c:v>9.13869083105212</c:v>
                </c:pt>
                <c:pt idx="11">
                  <c:v>9.1386906580858014</c:v>
                </c:pt>
                <c:pt idx="12">
                  <c:v>9.1386904564219638</c:v>
                </c:pt>
                <c:pt idx="13">
                  <c:v>9.1386902212990258</c:v>
                </c:pt>
                <c:pt idx="14">
                  <c:v>9.138689947165922</c:v>
                </c:pt>
                <c:pt idx="15">
                  <c:v>9.1386896275501464</c:v>
                </c:pt>
                <c:pt idx="16">
                  <c:v>9.1386892549056871</c:v>
                </c:pt>
                <c:pt idx="17">
                  <c:v>9.1386888204340249</c:v>
                </c:pt>
                <c:pt idx="18">
                  <c:v>9.1386883138773598</c:v>
                </c:pt>
                <c:pt idx="19">
                  <c:v>9.1386877232758046</c:v>
                </c:pt>
                <c:pt idx="20">
                  <c:v>9.1386870346848621</c:v>
                </c:pt>
                <c:pt idx="21">
                  <c:v>9.1386862318471138</c:v>
                </c:pt>
                <c:pt idx="22">
                  <c:v>9.1386852958070701</c:v>
                </c:pt>
                <c:pt idx="23">
                  <c:v>9.1386842044648144</c:v>
                </c:pt>
                <c:pt idx="24">
                  <c:v>9.1386829320535217</c:v>
                </c:pt>
                <c:pt idx="25">
                  <c:v>9.1386814485313597</c:v>
                </c:pt>
                <c:pt idx="26">
                  <c:v>9.1386797188721118</c:v>
                </c:pt>
                <c:pt idx="27">
                  <c:v>9.1386777022382777</c:v>
                </c:pt>
                <c:pt idx="28">
                  <c:v>9.1386753510170511</c:v>
                </c:pt>
                <c:pt idx="29">
                  <c:v>9.1386726096960693</c:v>
                </c:pt>
                <c:pt idx="30">
                  <c:v>9.1386694135525524</c:v>
                </c:pt>
                <c:pt idx="31">
                  <c:v>9.1386656871257408</c:v>
                </c:pt>
                <c:pt idx="32">
                  <c:v>9.1386613424351157</c:v>
                </c:pt>
                <c:pt idx="33">
                  <c:v>9.1386562769032729</c:v>
                </c:pt>
                <c:pt idx="34">
                  <c:v>9.1386503709342009</c:v>
                </c:pt>
                <c:pt idx="35">
                  <c:v>9.1386434850898244</c:v>
                </c:pt>
                <c:pt idx="36">
                  <c:v>9.138635456798486</c:v>
                </c:pt>
                <c:pt idx="37">
                  <c:v>9.1386260965166404</c:v>
                </c:pt>
                <c:pt idx="38">
                  <c:v>9.1386151832547551</c:v>
                </c:pt>
                <c:pt idx="39">
                  <c:v>9.1386024593600386</c:v>
                </c:pt>
                <c:pt idx="40">
                  <c:v>9.1385876244347966</c:v>
                </c:pt>
                <c:pt idx="41">
                  <c:v>9.1385703282457236</c:v>
                </c:pt>
                <c:pt idx="42">
                  <c:v>9.1385501624564984</c:v>
                </c:pt>
                <c:pt idx="43">
                  <c:v>9.1385266509903964</c:v>
                </c:pt>
                <c:pt idx="44">
                  <c:v>9.1384992387937114</c:v>
                </c:pt>
                <c:pt idx="45">
                  <c:v>9.1384672787367123</c:v>
                </c:pt>
                <c:pt idx="46">
                  <c:v>9.1384300163421592</c:v>
                </c:pt>
                <c:pt idx="47">
                  <c:v>9.1383865719823181</c:v>
                </c:pt>
                <c:pt idx="48">
                  <c:v>9.1383359201247636</c:v>
                </c:pt>
                <c:pt idx="49">
                  <c:v>9.1382768651384936</c:v>
                </c:pt>
                <c:pt idx="50">
                  <c:v>9.1382080130906687</c:v>
                </c:pt>
                <c:pt idx="51">
                  <c:v>9.1381277388710007</c:v>
                </c:pt>
                <c:pt idx="52">
                  <c:v>9.1380341478707159</c:v>
                </c:pt>
                <c:pt idx="53">
                  <c:v>9.1379250313152696</c:v>
                </c:pt>
                <c:pt idx="54">
                  <c:v>9.1377978142040845</c:v>
                </c:pt>
                <c:pt idx="55">
                  <c:v>9.1376494946344451</c:v>
                </c:pt>
                <c:pt idx="56">
                  <c:v>9.1374765730903302</c:v>
                </c:pt>
                <c:pt idx="57">
                  <c:v>9.1372749700414939</c:v>
                </c:pt>
                <c:pt idx="58">
                  <c:v>9.1370399299273437</c:v>
                </c:pt>
                <c:pt idx="59">
                  <c:v>9.136765909290185</c:v>
                </c:pt>
                <c:pt idx="60">
                  <c:v>9.1364464464529238</c:v>
                </c:pt>
                <c:pt idx="61">
                  <c:v>9.1360740097188415</c:v>
                </c:pt>
                <c:pt idx="62">
                  <c:v>9.1356398205813711</c:v>
                </c:pt>
                <c:pt idx="63">
                  <c:v>9.1351336478679297</c:v>
                </c:pt>
                <c:pt idx="64">
                  <c:v>9.1345435680894642</c:v>
                </c:pt>
                <c:pt idx="65">
                  <c:v>9.1338556865202829</c:v>
                </c:pt>
                <c:pt idx="66">
                  <c:v>9.1330538126653149</c:v>
                </c:pt>
                <c:pt idx="67">
                  <c:v>9.132119082787364</c:v>
                </c:pt>
                <c:pt idx="68">
                  <c:v>9.1310295210323815</c:v>
                </c:pt>
                <c:pt idx="69">
                  <c:v>9.1297595294027793</c:v>
                </c:pt>
                <c:pt idx="70">
                  <c:v>9.1282792953673901</c:v>
                </c:pt>
                <c:pt idx="71">
                  <c:v>9.1265541042448923</c:v>
                </c:pt>
                <c:pt idx="72">
                  <c:v>9.1245435416484995</c:v>
                </c:pt>
                <c:pt idx="73">
                  <c:v>9.1222005692216559</c:v>
                </c:pt>
                <c:pt idx="74">
                  <c:v>9.1194704546293686</c:v>
                </c:pt>
                <c:pt idx="75">
                  <c:v>9.1162895343056309</c:v>
                </c:pt>
                <c:pt idx="76">
                  <c:v>9.1125837848274909</c:v>
                </c:pt>
                <c:pt idx="77">
                  <c:v>9.1082671760365876</c:v>
                </c:pt>
                <c:pt idx="78">
                  <c:v>9.1032397762504171</c:v>
                </c:pt>
                <c:pt idx="79">
                  <c:v>9.0973855772258219</c:v>
                </c:pt>
                <c:pt idx="80">
                  <c:v>9.0905700041601989</c:v>
                </c:pt>
                <c:pt idx="81">
                  <c:v>9.0826370742163469</c:v>
                </c:pt>
                <c:pt idx="82">
                  <c:v>9.0734061662257623</c:v>
                </c:pt>
                <c:pt idx="83">
                  <c:v>9.0626683649055249</c:v>
                </c:pt>
                <c:pt idx="84">
                  <c:v>9.0501823458101498</c:v>
                </c:pt>
                <c:pt idx="85">
                  <c:v>9.0356697732770144</c:v>
                </c:pt>
                <c:pt idx="86">
                  <c:v>9.0188101939710901</c:v>
                </c:pt>
                <c:pt idx="87">
                  <c:v>8.9992354247783997</c:v>
                </c:pt>
                <c:pt idx="88">
                  <c:v>8.9765234574694563</c:v>
                </c:pt>
                <c:pt idx="89">
                  <c:v>8.950191935796834</c:v>
                </c:pt>
                <c:pt idx="90">
                  <c:v>8.9196913056863139</c:v>
                </c:pt>
                <c:pt idx="91">
                  <c:v>8.8843977981078908</c:v>
                </c:pt>
                <c:pt idx="92">
                  <c:v>8.8436064788904609</c:v>
                </c:pt>
                <c:pt idx="93">
                  <c:v>8.7965246910863613</c:v>
                </c:pt>
                <c:pt idx="94">
                  <c:v>8.7422663227619388</c:v>
                </c:pt>
                <c:pt idx="95">
                  <c:v>8.6798474528083798</c:v>
                </c:pt>
                <c:pt idx="96">
                  <c:v>8.608184052118844</c:v>
                </c:pt>
                <c:pt idx="97">
                  <c:v>8.526092534501327</c:v>
                </c:pt>
                <c:pt idx="98">
                  <c:v>8.4322940418455712</c:v>
                </c:pt>
                <c:pt idx="99">
                  <c:v>8.3254233853935062</c:v>
                </c:pt>
                <c:pt idx="100">
                  <c:v>8.204043517913961</c:v>
                </c:pt>
                <c:pt idx="101">
                  <c:v>8.0666662463206933</c:v>
                </c:pt>
                <c:pt idx="102">
                  <c:v>7.91177958113275</c:v>
                </c:pt>
                <c:pt idx="103">
                  <c:v>7.7378816420224208</c:v>
                </c:pt>
                <c:pt idx="104">
                  <c:v>7.5435204062614014</c:v>
                </c:pt>
                <c:pt idx="105">
                  <c:v>7.3273378432677525</c:v>
                </c:pt>
                <c:pt idx="106">
                  <c:v>7.0881162086600868</c:v>
                </c:pt>
                <c:pt idx="107">
                  <c:v>6.8248235966136068</c:v>
                </c:pt>
                <c:pt idx="108">
                  <c:v>6.5366554099750189</c:v>
                </c:pt>
                <c:pt idx="109">
                  <c:v>6.2230683318537308</c:v>
                </c:pt>
                <c:pt idx="110">
                  <c:v>5.8838037500031177</c:v>
                </c:pt>
                <c:pt idx="111">
                  <c:v>5.518898395777124</c:v>
                </c:pt>
                <c:pt idx="112">
                  <c:v>5.1286811185110137</c:v>
                </c:pt>
                <c:pt idx="113">
                  <c:v>4.7137560488299197</c:v>
                </c:pt>
                <c:pt idx="114">
                  <c:v>4.2749736935323259</c:v>
                </c:pt>
                <c:pt idx="115">
                  <c:v>3.8133925438312288</c:v>
                </c:pt>
                <c:pt idx="116">
                  <c:v>3.3302344211135395</c:v>
                </c:pt>
                <c:pt idx="117">
                  <c:v>2.8268369724466682</c:v>
                </c:pt>
                <c:pt idx="118">
                  <c:v>2.3046064956413974</c:v>
                </c:pt>
                <c:pt idx="119">
                  <c:v>1.7649737239263881</c:v>
                </c:pt>
                <c:pt idx="120">
                  <c:v>1.2093544704569124</c:v>
                </c:pt>
                <c:pt idx="121">
                  <c:v>0.63911625885821155</c:v>
                </c:pt>
                <c:pt idx="122">
                  <c:v>5.5551356449457516E-2</c:v>
                </c:pt>
                <c:pt idx="123">
                  <c:v>-0.54014394916982444</c:v>
                </c:pt>
                <c:pt idx="124">
                  <c:v>-1.1468844022778144</c:v>
                </c:pt>
                <c:pt idx="125">
                  <c:v>-1.7637059835584785</c:v>
                </c:pt>
                <c:pt idx="126">
                  <c:v>-2.3897722029559709</c:v>
                </c:pt>
                <c:pt idx="127">
                  <c:v>-3.0243774213824408</c:v>
                </c:pt>
                <c:pt idx="128">
                  <c:v>-3.6669480710961806</c:v>
                </c:pt>
                <c:pt idx="129">
                  <c:v>-4.3170425268769295</c:v>
                </c:pt>
                <c:pt idx="130">
                  <c:v>-4.9743502371537547</c:v>
                </c:pt>
                <c:pt idx="131">
                  <c:v>-5.6386905706547443</c:v>
                </c:pt>
                <c:pt idx="132">
                  <c:v>-6.3100116783311702</c:v>
                </c:pt>
                <c:pt idx="133">
                  <c:v>-6.9883895157765217</c:v>
                </c:pt>
                <c:pt idx="134">
                  <c:v>-7.6740270183344403</c:v>
                </c:pt>
                <c:pt idx="135">
                  <c:v>-8.367253268118839</c:v>
                </c:pt>
                <c:pt idx="136">
                  <c:v>-9.0685223377181678</c:v>
                </c:pt>
                <c:pt idx="137">
                  <c:v>-9.7784113393988772</c:v>
                </c:pt>
                <c:pt idx="138">
                  <c:v>-10.49761705425346</c:v>
                </c:pt>
                <c:pt idx="139">
                  <c:v>-11.226950370802399</c:v>
                </c:pt>
                <c:pt idx="140">
                  <c:v>-11.967327641086099</c:v>
                </c:pt>
                <c:pt idx="141">
                  <c:v>-12.719757985423399</c:v>
                </c:pt>
                <c:pt idx="142">
                  <c:v>-13.485325572839248</c:v>
                </c:pt>
                <c:pt idx="143">
                  <c:v>-14.265166005603152</c:v>
                </c:pt>
                <c:pt idx="144">
                  <c:v>-15.060436176406341</c:v>
                </c:pt>
                <c:pt idx="145">
                  <c:v>-15.872277370747492</c:v>
                </c:pt>
                <c:pt idx="146">
                  <c:v>-16.701771962139034</c:v>
                </c:pt>
                <c:pt idx="147">
                  <c:v>-17.549894771110154</c:v>
                </c:pt>
                <c:pt idx="148">
                  <c:v>-18.417460969470078</c:v>
                </c:pt>
                <c:pt idx="149">
                  <c:v>-19.305073207582581</c:v>
                </c:pt>
                <c:pt idx="150">
                  <c:v>-20.213071293188015</c:v>
                </c:pt>
                <c:pt idx="151">
                  <c:v>-21.141488117983251</c:v>
                </c:pt>
                <c:pt idx="152">
                  <c:v>-22.090015502707434</c:v>
                </c:pt>
                <c:pt idx="153">
                  <c:v>-23.057983165652068</c:v>
                </c:pt>
                <c:pt idx="154">
                  <c:v>-24.044353152375987</c:v>
                </c:pt>
                <c:pt idx="155">
                  <c:v>-25.047730921702222</c:v>
                </c:pt>
                <c:pt idx="156">
                  <c:v>-26.066393050039053</c:v>
                </c:pt>
                <c:pt idx="157">
                  <c:v>-27.098330389311606</c:v>
                </c:pt>
                <c:pt idx="158">
                  <c:v>-28.141304647926042</c:v>
                </c:pt>
                <c:pt idx="159">
                  <c:v>-29.192915832017352</c:v>
                </c:pt>
                <c:pt idx="160">
                  <c:v>-30.250677764036162</c:v>
                </c:pt>
                <c:pt idx="161">
                  <c:v>-31.312098888794928</c:v>
                </c:pt>
                <c:pt idx="162">
                  <c:v>-32.374765647889539</c:v>
                </c:pt>
                <c:pt idx="163">
                  <c:v>-33.436425728138161</c:v>
                </c:pt>
                <c:pt idx="164">
                  <c:v>-34.49506839809284</c:v>
                </c:pt>
                <c:pt idx="165">
                  <c:v>-35.548998945217498</c:v>
                </c:pt>
                <c:pt idx="166">
                  <c:v>-36.59690399695868</c:v>
                </c:pt>
                <c:pt idx="167">
                  <c:v>-37.637904383854874</c:v>
                </c:pt>
                <c:pt idx="168">
                  <c:v>-38.671592322379396</c:v>
                </c:pt>
                <c:pt idx="169">
                  <c:v>-39.69805016106568</c:v>
                </c:pt>
                <c:pt idx="170">
                  <c:v>-40.717848772391548</c:v>
                </c:pt>
                <c:pt idx="171">
                  <c:v>-41.732024823861906</c:v>
                </c:pt>
                <c:pt idx="172">
                  <c:v>-42.742037491593919</c:v>
                </c:pt>
                <c:pt idx="173">
                  <c:v>-43.749706521760842</c:v>
                </c:pt>
                <c:pt idx="174">
                  <c:v>-44.757134745040631</c:v>
                </c:pt>
                <c:pt idx="175">
                  <c:v>-45.766619099497483</c:v>
                </c:pt>
                <c:pt idx="176">
                  <c:v>-46.78055486922559</c:v>
                </c:pt>
                <c:pt idx="177">
                  <c:v>-47.801338195574004</c:v>
                </c:pt>
                <c:pt idx="178">
                  <c:v>-48.831271977913921</c:v>
                </c:pt>
                <c:pt idx="179">
                  <c:v>-49.872480056685021</c:v>
                </c:pt>
                <c:pt idx="180">
                  <c:v>-50.926834051343441</c:v>
                </c:pt>
                <c:pt idx="181">
                  <c:v>-51.995896395079846</c:v>
                </c:pt>
                <c:pt idx="182">
                  <c:v>-53.080881976768872</c:v>
                </c:pt>
                <c:pt idx="183">
                  <c:v>-54.182639430827521</c:v>
                </c:pt>
                <c:pt idx="184">
                  <c:v>-55.301651632792655</c:v>
                </c:pt>
                <c:pt idx="185">
                  <c:v>-56.438053535981361</c:v>
                </c:pt>
                <c:pt idx="186">
                  <c:v>-57.591664306967765</c:v>
                </c:pt>
                <c:pt idx="187">
                  <c:v>-58.76202993410481</c:v>
                </c:pt>
                <c:pt idx="188">
                  <c:v>-59.948472171123939</c:v>
                </c:pt>
                <c:pt idx="189">
                  <c:v>-61.150139827262038</c:v>
                </c:pt>
                <c:pt idx="190">
                  <c:v>-62.366058940233543</c:v>
                </c:pt>
                <c:pt idx="191">
                  <c:v>-63.595179135320485</c:v>
                </c:pt>
                <c:pt idx="192">
                  <c:v>-64.836414337702109</c:v>
                </c:pt>
                <c:pt idx="193">
                  <c:v>-66.088676839429993</c:v>
                </c:pt>
                <c:pt idx="194">
                  <c:v>-67.350904437600704</c:v>
                </c:pt>
                <c:pt idx="195">
                  <c:v>-68.622080908825012</c:v>
                </c:pt>
                <c:pt idx="196">
                  <c:v>-69.901250456500577</c:v>
                </c:pt>
                <c:pt idx="197">
                  <c:v>-71.187526977517493</c:v>
                </c:pt>
                <c:pt idx="198">
                  <c:v>-72.480099074488919</c:v>
                </c:pt>
                <c:pt idx="199">
                  <c:v>-73.778231723907027</c:v>
                </c:pt>
                <c:pt idx="200">
                  <c:v>-75.081265433382555</c:v>
                </c:pt>
                <c:pt idx="201">
                  <c:v>-76.388613610259711</c:v>
                </c:pt>
                <c:pt idx="202">
                  <c:v>-77.699758740307729</c:v>
                </c:pt>
                <c:pt idx="203">
                  <c:v>-79.014247853054528</c:v>
                </c:pt>
                <c:pt idx="204">
                  <c:v>-80.331687638066541</c:v>
                </c:pt>
                <c:pt idx="205">
                  <c:v>-81.651739478290907</c:v>
                </c:pt>
                <c:pt idx="206">
                  <c:v>-82.974114583573112</c:v>
                </c:pt>
                <c:pt idx="207">
                  <c:v>-84.298569338949704</c:v>
                </c:pt>
                <c:pt idx="208">
                  <c:v>-85.624900926522969</c:v>
                </c:pt>
                <c:pt idx="209">
                  <c:v>-86.952943234544676</c:v>
                </c:pt>
                <c:pt idx="210">
                  <c:v>-88.282563030667959</c:v>
                </c:pt>
              </c:numCache>
            </c:numRef>
          </c:yVal>
          <c:smooth val="1"/>
        </c:ser>
        <c:ser>
          <c:idx val="0"/>
          <c:order val="4"/>
          <c:tx>
            <c:v>Compensation Gain</c:v>
          </c:tx>
          <c:spPr>
            <a:ln w="25400">
              <a:solidFill>
                <a:srgbClr val="FF0000"/>
              </a:solidFill>
              <a:prstDash val="solid"/>
            </a:ln>
          </c:spPr>
          <c:marker>
            <c:symbol val="none"/>
          </c:marker>
          <c:xVal>
            <c:numRef>
              <c:f>'Small Signal'!$L$2:$L$212</c:f>
              <c:numCache>
                <c:formatCode>General</c:formatCode>
                <c:ptCount val="211"/>
                <c:pt idx="0">
                  <c:v>1</c:v>
                </c:pt>
                <c:pt idx="1">
                  <c:v>1.0797751623277096</c:v>
                </c:pt>
                <c:pt idx="2">
                  <c:v>1.1659144011798317</c:v>
                </c:pt>
                <c:pt idx="3">
                  <c:v>1.2589254117941673</c:v>
                </c:pt>
                <c:pt idx="4">
                  <c:v>1.3593563908785258</c:v>
                </c:pt>
                <c:pt idx="5">
                  <c:v>1.4677992676220697</c:v>
                </c:pt>
                <c:pt idx="6">
                  <c:v>1.5848931924611136</c:v>
                </c:pt>
                <c:pt idx="7">
                  <c:v>1.7113283041617808</c:v>
                </c:pt>
                <c:pt idx="8">
                  <c:v>1.8478497974222912</c:v>
                </c:pt>
                <c:pt idx="9">
                  <c:v>1.9952623149688797</c:v>
                </c:pt>
                <c:pt idx="10">
                  <c:v>2.1544346900318838</c:v>
                </c:pt>
                <c:pt idx="11">
                  <c:v>2.3263050671536263</c:v>
                </c:pt>
                <c:pt idx="12">
                  <c:v>2.5118864315095806</c:v>
                </c:pt>
                <c:pt idx="13">
                  <c:v>2.7122725793320286</c:v>
                </c:pt>
                <c:pt idx="14">
                  <c:v>2.9286445646252366</c:v>
                </c:pt>
                <c:pt idx="15">
                  <c:v>3.1622776601683795</c:v>
                </c:pt>
                <c:pt idx="16">
                  <c:v>3.4145488738336023</c:v>
                </c:pt>
                <c:pt idx="17">
                  <c:v>3.6869450645195756</c:v>
                </c:pt>
                <c:pt idx="18">
                  <c:v>3.9810717055349727</c:v>
                </c:pt>
                <c:pt idx="19">
                  <c:v>4.2986623470822769</c:v>
                </c:pt>
                <c:pt idx="20">
                  <c:v>4.6415888336127793</c:v>
                </c:pt>
                <c:pt idx="21">
                  <c:v>5.0118723362727229</c:v>
                </c:pt>
                <c:pt idx="22">
                  <c:v>5.4116952654646369</c:v>
                </c:pt>
                <c:pt idx="23">
                  <c:v>5.8434141337351777</c:v>
                </c:pt>
                <c:pt idx="24">
                  <c:v>6.3095734448019343</c:v>
                </c:pt>
                <c:pt idx="25">
                  <c:v>6.812920690579614</c:v>
                </c:pt>
                <c:pt idx="26">
                  <c:v>7.3564225445964153</c:v>
                </c:pt>
                <c:pt idx="27">
                  <c:v>7.9432823472428176</c:v>
                </c:pt>
                <c:pt idx="28">
                  <c:v>8.5769589859089415</c:v>
                </c:pt>
                <c:pt idx="29">
                  <c:v>9.2611872812879383</c:v>
                </c:pt>
                <c:pt idx="30">
                  <c:v>10</c:v>
                </c:pt>
                <c:pt idx="31">
                  <c:v>10.797751623277103</c:v>
                </c:pt>
                <c:pt idx="32">
                  <c:v>11.659144011798322</c:v>
                </c:pt>
                <c:pt idx="33">
                  <c:v>12.58925411794168</c:v>
                </c:pt>
                <c:pt idx="34">
                  <c:v>13.593563908785256</c:v>
                </c:pt>
                <c:pt idx="35">
                  <c:v>14.677992676220699</c:v>
                </c:pt>
                <c:pt idx="36">
                  <c:v>15.848931924611136</c:v>
                </c:pt>
                <c:pt idx="37">
                  <c:v>17.113283041617812</c:v>
                </c:pt>
                <c:pt idx="38">
                  <c:v>18.478497974222911</c:v>
                </c:pt>
                <c:pt idx="39">
                  <c:v>19.952623149688804</c:v>
                </c:pt>
                <c:pt idx="40">
                  <c:v>21.544346900318843</c:v>
                </c:pt>
                <c:pt idx="41">
                  <c:v>23.263050671536273</c:v>
                </c:pt>
                <c:pt idx="42">
                  <c:v>25.118864315095799</c:v>
                </c:pt>
                <c:pt idx="43">
                  <c:v>27.122725793320289</c:v>
                </c:pt>
                <c:pt idx="44">
                  <c:v>29.286445646252368</c:v>
                </c:pt>
                <c:pt idx="45">
                  <c:v>31.622776601683803</c:v>
                </c:pt>
                <c:pt idx="46">
                  <c:v>34.145488738336034</c:v>
                </c:pt>
                <c:pt idx="47">
                  <c:v>36.869450645195769</c:v>
                </c:pt>
                <c:pt idx="48">
                  <c:v>39.810717055349755</c:v>
                </c:pt>
                <c:pt idx="49">
                  <c:v>42.986623470822771</c:v>
                </c:pt>
                <c:pt idx="50">
                  <c:v>46.415888336127807</c:v>
                </c:pt>
                <c:pt idx="51">
                  <c:v>50.118723362727238</c:v>
                </c:pt>
                <c:pt idx="52">
                  <c:v>54.11695265464639</c:v>
                </c:pt>
                <c:pt idx="53">
                  <c:v>58.434141337351775</c:v>
                </c:pt>
                <c:pt idx="54">
                  <c:v>63.095734448019364</c:v>
                </c:pt>
                <c:pt idx="55">
                  <c:v>68.129206905796124</c:v>
                </c:pt>
                <c:pt idx="56">
                  <c:v>73.564225445964155</c:v>
                </c:pt>
                <c:pt idx="57">
                  <c:v>79.432823472428197</c:v>
                </c:pt>
                <c:pt idx="58">
                  <c:v>85.769589859089479</c:v>
                </c:pt>
                <c:pt idx="59">
                  <c:v>92.611872812879369</c:v>
                </c:pt>
                <c:pt idx="60">
                  <c:v>100</c:v>
                </c:pt>
                <c:pt idx="61">
                  <c:v>107.97751623277095</c:v>
                </c:pt>
                <c:pt idx="62">
                  <c:v>116.59144011798328</c:v>
                </c:pt>
                <c:pt idx="63">
                  <c:v>125.89254117941677</c:v>
                </c:pt>
                <c:pt idx="64">
                  <c:v>135.93563908785265</c:v>
                </c:pt>
                <c:pt idx="65">
                  <c:v>146.77992676220697</c:v>
                </c:pt>
                <c:pt idx="66">
                  <c:v>158.48931924611153</c:v>
                </c:pt>
                <c:pt idx="67">
                  <c:v>171.13283041617817</c:v>
                </c:pt>
                <c:pt idx="68">
                  <c:v>184.7849797422291</c:v>
                </c:pt>
                <c:pt idx="69">
                  <c:v>199.52623149688802</c:v>
                </c:pt>
                <c:pt idx="70">
                  <c:v>215.44346900318848</c:v>
                </c:pt>
                <c:pt idx="71">
                  <c:v>232.6305067153628</c:v>
                </c:pt>
                <c:pt idx="72">
                  <c:v>251.18864315095806</c:v>
                </c:pt>
                <c:pt idx="73">
                  <c:v>271.22725793320296</c:v>
                </c:pt>
                <c:pt idx="74">
                  <c:v>292.86445646252383</c:v>
                </c:pt>
                <c:pt idx="75">
                  <c:v>316.22776601683825</c:v>
                </c:pt>
                <c:pt idx="76">
                  <c:v>341.4548873833603</c:v>
                </c:pt>
                <c:pt idx="77">
                  <c:v>368.69450645195781</c:v>
                </c:pt>
                <c:pt idx="78">
                  <c:v>398.10717055349761</c:v>
                </c:pt>
                <c:pt idx="79">
                  <c:v>429.86623470822781</c:v>
                </c:pt>
                <c:pt idx="80">
                  <c:v>464.15888336127819</c:v>
                </c:pt>
                <c:pt idx="81">
                  <c:v>501.18723362727269</c:v>
                </c:pt>
                <c:pt idx="82">
                  <c:v>541.16952654646434</c:v>
                </c:pt>
                <c:pt idx="83">
                  <c:v>584.34141337351787</c:v>
                </c:pt>
                <c:pt idx="84">
                  <c:v>630.95734448019323</c:v>
                </c:pt>
                <c:pt idx="85">
                  <c:v>681.29206905796195</c:v>
                </c:pt>
                <c:pt idx="86">
                  <c:v>735.64225445964166</c:v>
                </c:pt>
                <c:pt idx="87">
                  <c:v>794.32823472428208</c:v>
                </c:pt>
                <c:pt idx="88">
                  <c:v>857.69589859089422</c:v>
                </c:pt>
                <c:pt idx="89">
                  <c:v>926.11872812879471</c:v>
                </c:pt>
                <c:pt idx="90">
                  <c:v>1000</c:v>
                </c:pt>
                <c:pt idx="91">
                  <c:v>1079.7751623277097</c:v>
                </c:pt>
                <c:pt idx="92">
                  <c:v>1165.914401179833</c:v>
                </c:pt>
                <c:pt idx="93">
                  <c:v>1258.925411794168</c:v>
                </c:pt>
                <c:pt idx="94">
                  <c:v>1359.3563908785268</c:v>
                </c:pt>
                <c:pt idx="95">
                  <c:v>1467.7992676220699</c:v>
                </c:pt>
                <c:pt idx="96">
                  <c:v>1584.8931924611156</c:v>
                </c:pt>
                <c:pt idx="97">
                  <c:v>1711.3283041617822</c:v>
                </c:pt>
                <c:pt idx="98">
                  <c:v>1847.8497974222912</c:v>
                </c:pt>
                <c:pt idx="99">
                  <c:v>1995.2623149688804</c:v>
                </c:pt>
                <c:pt idx="100">
                  <c:v>2154.4346900318851</c:v>
                </c:pt>
                <c:pt idx="101">
                  <c:v>2326.3050671536284</c:v>
                </c:pt>
                <c:pt idx="102">
                  <c:v>2511.8864315095811</c:v>
                </c:pt>
                <c:pt idx="103">
                  <c:v>2712.2725793320301</c:v>
                </c:pt>
                <c:pt idx="104">
                  <c:v>2928.6445646252391</c:v>
                </c:pt>
                <c:pt idx="105">
                  <c:v>3162.2776601683804</c:v>
                </c:pt>
                <c:pt idx="106">
                  <c:v>3414.5488738336035</c:v>
                </c:pt>
                <c:pt idx="107">
                  <c:v>3686.9450645195784</c:v>
                </c:pt>
                <c:pt idx="108">
                  <c:v>3981.0717055349769</c:v>
                </c:pt>
                <c:pt idx="109">
                  <c:v>4298.6623470822833</c:v>
                </c:pt>
                <c:pt idx="110">
                  <c:v>4641.5888336127782</c:v>
                </c:pt>
                <c:pt idx="111">
                  <c:v>5011.8723362727324</c:v>
                </c:pt>
                <c:pt idx="112">
                  <c:v>5411.6952654646393</c:v>
                </c:pt>
                <c:pt idx="113">
                  <c:v>5843.4141337351803</c:v>
                </c:pt>
                <c:pt idx="114">
                  <c:v>6309.5734448019384</c:v>
                </c:pt>
                <c:pt idx="115">
                  <c:v>6812.9206905796218</c:v>
                </c:pt>
                <c:pt idx="116">
                  <c:v>7356.4225445964248</c:v>
                </c:pt>
                <c:pt idx="117">
                  <c:v>7943.2823472428154</c:v>
                </c:pt>
                <c:pt idx="118">
                  <c:v>8576.9589859089447</c:v>
                </c:pt>
                <c:pt idx="119">
                  <c:v>9261.187281287941</c:v>
                </c:pt>
                <c:pt idx="120">
                  <c:v>10000</c:v>
                </c:pt>
                <c:pt idx="121">
                  <c:v>10797.751623277109</c:v>
                </c:pt>
                <c:pt idx="122">
                  <c:v>11659.144011798313</c:v>
                </c:pt>
                <c:pt idx="123">
                  <c:v>12589.254117941671</c:v>
                </c:pt>
                <c:pt idx="124">
                  <c:v>13593.563908785283</c:v>
                </c:pt>
                <c:pt idx="125">
                  <c:v>14677.992676220729</c:v>
                </c:pt>
                <c:pt idx="126">
                  <c:v>15848.931924611146</c:v>
                </c:pt>
                <c:pt idx="127">
                  <c:v>17113.283041617826</c:v>
                </c:pt>
                <c:pt idx="128">
                  <c:v>18478.497974222933</c:v>
                </c:pt>
                <c:pt idx="129">
                  <c:v>19952.623149688792</c:v>
                </c:pt>
                <c:pt idx="130">
                  <c:v>21544.346900318837</c:v>
                </c:pt>
                <c:pt idx="131">
                  <c:v>23263.050671536268</c:v>
                </c:pt>
                <c:pt idx="132">
                  <c:v>25118.86431509586</c:v>
                </c:pt>
                <c:pt idx="133">
                  <c:v>27122.725793320307</c:v>
                </c:pt>
                <c:pt idx="134">
                  <c:v>29286.445646252399</c:v>
                </c:pt>
                <c:pt idx="135">
                  <c:v>31622.77660168384</c:v>
                </c:pt>
                <c:pt idx="136">
                  <c:v>34145.488738336011</c:v>
                </c:pt>
                <c:pt idx="137">
                  <c:v>36869.450645195764</c:v>
                </c:pt>
                <c:pt idx="138">
                  <c:v>39810.717055349742</c:v>
                </c:pt>
                <c:pt idx="139">
                  <c:v>42986.62347082288</c:v>
                </c:pt>
                <c:pt idx="140">
                  <c:v>46415.888336127835</c:v>
                </c:pt>
                <c:pt idx="141">
                  <c:v>50118.723362727294</c:v>
                </c:pt>
                <c:pt idx="142">
                  <c:v>54116.952654646455</c:v>
                </c:pt>
                <c:pt idx="143">
                  <c:v>58434.141337351764</c:v>
                </c:pt>
                <c:pt idx="144">
                  <c:v>63095.734448019342</c:v>
                </c:pt>
                <c:pt idx="145">
                  <c:v>68129.206905796163</c:v>
                </c:pt>
                <c:pt idx="146">
                  <c:v>73564.225445964199</c:v>
                </c:pt>
                <c:pt idx="147">
                  <c:v>79432.823472428237</c:v>
                </c:pt>
                <c:pt idx="148">
                  <c:v>85769.589859089538</c:v>
                </c:pt>
                <c:pt idx="149">
                  <c:v>92611.872812879505</c:v>
                </c:pt>
                <c:pt idx="150">
                  <c:v>100000</c:v>
                </c:pt>
                <c:pt idx="151">
                  <c:v>107977.51623277101</c:v>
                </c:pt>
                <c:pt idx="152">
                  <c:v>116591.44011798326</c:v>
                </c:pt>
                <c:pt idx="153">
                  <c:v>125892.54117941685</c:v>
                </c:pt>
                <c:pt idx="154">
                  <c:v>135935.63908785273</c:v>
                </c:pt>
                <c:pt idx="155">
                  <c:v>146779.92676220718</c:v>
                </c:pt>
                <c:pt idx="156">
                  <c:v>158489.31924611164</c:v>
                </c:pt>
                <c:pt idx="157">
                  <c:v>171132.83041617845</c:v>
                </c:pt>
                <c:pt idx="158">
                  <c:v>184784.97974222922</c:v>
                </c:pt>
                <c:pt idx="159">
                  <c:v>199526.23149688813</c:v>
                </c:pt>
                <c:pt idx="160">
                  <c:v>215443.46900318863</c:v>
                </c:pt>
                <c:pt idx="161">
                  <c:v>232630.50671536254</c:v>
                </c:pt>
                <c:pt idx="162">
                  <c:v>251188.64315095844</c:v>
                </c:pt>
                <c:pt idx="163">
                  <c:v>271227.25793320336</c:v>
                </c:pt>
                <c:pt idx="164">
                  <c:v>292864.45646252431</c:v>
                </c:pt>
                <c:pt idx="165">
                  <c:v>316227.7660168382</c:v>
                </c:pt>
                <c:pt idx="166">
                  <c:v>341454.88738336053</c:v>
                </c:pt>
                <c:pt idx="167">
                  <c:v>368694.50645195803</c:v>
                </c:pt>
                <c:pt idx="168">
                  <c:v>398107.17055349716</c:v>
                </c:pt>
                <c:pt idx="169">
                  <c:v>429866.2347082285</c:v>
                </c:pt>
                <c:pt idx="170">
                  <c:v>464158.88336127886</c:v>
                </c:pt>
                <c:pt idx="171">
                  <c:v>501187.23362727347</c:v>
                </c:pt>
                <c:pt idx="172">
                  <c:v>541169.52654646419</c:v>
                </c:pt>
                <c:pt idx="173">
                  <c:v>584341.41337351827</c:v>
                </c:pt>
                <c:pt idx="174">
                  <c:v>630957.34448019415</c:v>
                </c:pt>
                <c:pt idx="175">
                  <c:v>681292.06905796123</c:v>
                </c:pt>
                <c:pt idx="176">
                  <c:v>735642.25445964152</c:v>
                </c:pt>
                <c:pt idx="177">
                  <c:v>794328.23472428333</c:v>
                </c:pt>
                <c:pt idx="178">
                  <c:v>857695.89859089628</c:v>
                </c:pt>
                <c:pt idx="179">
                  <c:v>926118.72812879446</c:v>
                </c:pt>
                <c:pt idx="180">
                  <c:v>1000000</c:v>
                </c:pt>
                <c:pt idx="181">
                  <c:v>1079775.1623277115</c:v>
                </c:pt>
                <c:pt idx="182">
                  <c:v>1165914.4011798317</c:v>
                </c:pt>
                <c:pt idx="183">
                  <c:v>1258925.4117941677</c:v>
                </c:pt>
                <c:pt idx="184">
                  <c:v>1359356.3908785288</c:v>
                </c:pt>
                <c:pt idx="185">
                  <c:v>1467799.2676220734</c:v>
                </c:pt>
                <c:pt idx="186">
                  <c:v>1584893.1924611153</c:v>
                </c:pt>
                <c:pt idx="187">
                  <c:v>1711328.3041617833</c:v>
                </c:pt>
                <c:pt idx="188">
                  <c:v>1847849.797422294</c:v>
                </c:pt>
                <c:pt idx="189">
                  <c:v>1995262.31496888</c:v>
                </c:pt>
                <c:pt idx="190">
                  <c:v>2154434.6900318847</c:v>
                </c:pt>
                <c:pt idx="191">
                  <c:v>2326305.067153628</c:v>
                </c:pt>
                <c:pt idx="192">
                  <c:v>2511886.431509587</c:v>
                </c:pt>
                <c:pt idx="193">
                  <c:v>2712272.5793320318</c:v>
                </c:pt>
                <c:pt idx="194">
                  <c:v>2928644.5646252413</c:v>
                </c:pt>
                <c:pt idx="195">
                  <c:v>3162277.6601683851</c:v>
                </c:pt>
                <c:pt idx="196">
                  <c:v>3414548.8738336028</c:v>
                </c:pt>
                <c:pt idx="197">
                  <c:v>3686945.0645195777</c:v>
                </c:pt>
                <c:pt idx="198">
                  <c:v>3981071.705534976</c:v>
                </c:pt>
                <c:pt idx="199">
                  <c:v>4298662.3470822899</c:v>
                </c:pt>
                <c:pt idx="200">
                  <c:v>4641588.8336127857</c:v>
                </c:pt>
                <c:pt idx="201">
                  <c:v>5011872.3362727314</c:v>
                </c:pt>
                <c:pt idx="202">
                  <c:v>5411695.2654646477</c:v>
                </c:pt>
                <c:pt idx="203">
                  <c:v>5843414.133735179</c:v>
                </c:pt>
                <c:pt idx="204">
                  <c:v>6309573.4448019378</c:v>
                </c:pt>
                <c:pt idx="205">
                  <c:v>6812920.6905796202</c:v>
                </c:pt>
                <c:pt idx="206">
                  <c:v>7356422.5445964225</c:v>
                </c:pt>
                <c:pt idx="207">
                  <c:v>7943282.3472428275</c:v>
                </c:pt>
                <c:pt idx="208">
                  <c:v>8576958.9859089572</c:v>
                </c:pt>
                <c:pt idx="209">
                  <c:v>9261187.2812879551</c:v>
                </c:pt>
                <c:pt idx="210">
                  <c:v>10000000</c:v>
                </c:pt>
              </c:numCache>
            </c:numRef>
          </c:xVal>
          <c:yVal>
            <c:numRef>
              <c:f>'Small Signal'!$Y$2:$Y$212</c:f>
              <c:numCache>
                <c:formatCode>General</c:formatCode>
                <c:ptCount val="211"/>
                <c:pt idx="0">
                  <c:v>52.98800906532162</c:v>
                </c:pt>
                <c:pt idx="1">
                  <c:v>52.987949932921367</c:v>
                </c:pt>
                <c:pt idx="2">
                  <c:v>52.987880990621406</c:v>
                </c:pt>
                <c:pt idx="3">
                  <c:v>52.987800611183467</c:v>
                </c:pt>
                <c:pt idx="4">
                  <c:v>52.987706897518322</c:v>
                </c:pt>
                <c:pt idx="5">
                  <c:v>52.987597637960938</c:v>
                </c:pt>
                <c:pt idx="6">
                  <c:v>52.987470254141577</c:v>
                </c:pt>
                <c:pt idx="7">
                  <c:v>52.987321740231614</c:v>
                </c:pt>
                <c:pt idx="8">
                  <c:v>52.987148592140237</c:v>
                </c:pt>
                <c:pt idx="9">
                  <c:v>52.986946725006597</c:v>
                </c:pt>
                <c:pt idx="10">
                  <c:v>52.986711377060409</c:v>
                </c:pt>
                <c:pt idx="11">
                  <c:v>52.986436997609893</c:v>
                </c:pt>
                <c:pt idx="12">
                  <c:v>52.986117116552755</c:v>
                </c:pt>
                <c:pt idx="13">
                  <c:v>52.985744192380849</c:v>
                </c:pt>
                <c:pt idx="14">
                  <c:v>52.98530943516495</c:v>
                </c:pt>
                <c:pt idx="15">
                  <c:v>52.984802600436261</c:v>
                </c:pt>
                <c:pt idx="16">
                  <c:v>52.984211749233523</c:v>
                </c:pt>
                <c:pt idx="17">
                  <c:v>52.983522968832489</c:v>
                </c:pt>
                <c:pt idx="18">
                  <c:v>52.982720047808129</c:v>
                </c:pt>
                <c:pt idx="19">
                  <c:v>52.981784098096121</c:v>
                </c:pt>
                <c:pt idx="20">
                  <c:v>52.980693115580138</c:v>
                </c:pt>
                <c:pt idx="21">
                  <c:v>52.979421469449761</c:v>
                </c:pt>
                <c:pt idx="22">
                  <c:v>52.977939309103853</c:v>
                </c:pt>
                <c:pt idx="23">
                  <c:v>52.976211875728971</c:v>
                </c:pt>
                <c:pt idx="24">
                  <c:v>52.974198703828314</c:v>
                </c:pt>
                <c:pt idx="25">
                  <c:v>52.971852695923111</c:v>
                </c:pt>
                <c:pt idx="26">
                  <c:v>52.969119051379302</c:v>
                </c:pt>
                <c:pt idx="27">
                  <c:v>52.965934027857486</c:v>
                </c:pt>
                <c:pt idx="28">
                  <c:v>52.962223511251793</c:v>
                </c:pt>
                <c:pt idx="29">
                  <c:v>52.957901367244894</c:v>
                </c:pt>
                <c:pt idx="30">
                  <c:v>52.952867544833836</c:v>
                </c:pt>
                <c:pt idx="31">
                  <c:v>52.947005899521415</c:v>
                </c:pt>
                <c:pt idx="32">
                  <c:v>52.940181701505153</c:v>
                </c:pt>
                <c:pt idx="33">
                  <c:v>52.932238792430773</c:v>
                </c:pt>
                <c:pt idx="34">
                  <c:v>52.922996353483597</c:v>
                </c:pt>
                <c:pt idx="35">
                  <c:v>52.912245248327011</c:v>
                </c:pt>
                <c:pt idx="36">
                  <c:v>52.899743907356751</c:v>
                </c:pt>
                <c:pt idx="37">
                  <c:v>52.885213725873164</c:v>
                </c:pt>
                <c:pt idx="38">
                  <c:v>52.868333959249455</c:v>
                </c:pt>
                <c:pt idx="39">
                  <c:v>52.848736114474853</c:v>
                </c:pt>
                <c:pt idx="40">
                  <c:v>52.825997861333747</c:v>
                </c:pt>
                <c:pt idx="41">
                  <c:v>52.799636519968288</c:v>
                </c:pt>
                <c:pt idx="42">
                  <c:v>52.769102226875724</c:v>
                </c:pt>
                <c:pt idx="43">
                  <c:v>52.733770940662417</c:v>
                </c:pt>
                <c:pt idx="44">
                  <c:v>52.692937523945787</c:v>
                </c:pt>
                <c:pt idx="45">
                  <c:v>52.645809229544305</c:v>
                </c:pt>
                <c:pt idx="46">
                  <c:v>52.591500026746878</c:v>
                </c:pt>
                <c:pt idx="47">
                  <c:v>52.52902632347962</c:v>
                </c:pt>
                <c:pt idx="48">
                  <c:v>52.457304765076863</c:v>
                </c:pt>
                <c:pt idx="49">
                  <c:v>52.375152907249941</c:v>
                </c:pt>
                <c:pt idx="50">
                  <c:v>52.281293650463766</c:v>
                </c:pt>
                <c:pt idx="51">
                  <c:v>52.174364359219375</c:v>
                </c:pt>
                <c:pt idx="52">
                  <c:v>52.052931541045766</c:v>
                </c:pt>
                <c:pt idx="53">
                  <c:v>51.9155117925323</c:v>
                </c:pt>
                <c:pt idx="54">
                  <c:v>51.760599403962694</c:v>
                </c:pt>
                <c:pt idx="55">
                  <c:v>51.586700534290351</c:v>
                </c:pt>
                <c:pt idx="56">
                  <c:v>51.392373233626337</c:v>
                </c:pt>
                <c:pt idx="57">
                  <c:v>51.176271845971435</c:v>
                </c:pt>
                <c:pt idx="58">
                  <c:v>50.937193556348902</c:v>
                </c:pt>
                <c:pt idx="59">
                  <c:v>50.674124175749547</c:v>
                </c:pt>
                <c:pt idx="60">
                  <c:v>50.386279824569506</c:v>
                </c:pt>
                <c:pt idx="61">
                  <c:v>50.073141108274115</c:v>
                </c:pt>
                <c:pt idx="62">
                  <c:v>49.734476756372075</c:v>
                </c:pt>
                <c:pt idx="63">
                  <c:v>49.370354515265198</c:v>
                </c:pt>
                <c:pt idx="64">
                  <c:v>48.981138251167181</c:v>
                </c:pt>
                <c:pt idx="65">
                  <c:v>48.567471554864831</c:v>
                </c:pt>
                <c:pt idx="66">
                  <c:v>48.130249428232815</c:v>
                </c:pt>
                <c:pt idx="67">
                  <c:v>47.670580667334313</c:v>
                </c:pt>
                <c:pt idx="68">
                  <c:v>47.189744193392265</c:v>
                </c:pt>
                <c:pt idx="69">
                  <c:v>46.689142765122753</c:v>
                </c:pt>
                <c:pt idx="70">
                  <c:v>46.170257269259771</c:v>
                </c:pt>
                <c:pt idx="71">
                  <c:v>45.634604234677823</c:v>
                </c:pt>
                <c:pt idx="72">
                  <c:v>45.083698486806021</c:v>
                </c:pt>
                <c:pt idx="73">
                  <c:v>44.519022088502936</c:v>
                </c:pt>
                <c:pt idx="74">
                  <c:v>43.942000009055796</c:v>
                </c:pt>
                <c:pt idx="75">
                  <c:v>43.35398239259753</c:v>
                </c:pt>
                <c:pt idx="76">
                  <c:v>42.756232889575536</c:v>
                </c:pt>
                <c:pt idx="77">
                  <c:v>42.149922267118519</c:v>
                </c:pt>
                <c:pt idx="78">
                  <c:v>41.536126403264063</c:v>
                </c:pt>
                <c:pt idx="79">
                  <c:v>40.915827763705146</c:v>
                </c:pt>
                <c:pt idx="80">
                  <c:v>40.289919524504</c:v>
                </c:pt>
                <c:pt idx="81">
                  <c:v>39.659211610579739</c:v>
                </c:pt>
                <c:pt idx="82">
                  <c:v>39.024438044520174</c:v>
                </c:pt>
                <c:pt idx="83">
                  <c:v>38.386265126922829</c:v>
                </c:pt>
                <c:pt idx="84">
                  <c:v>37.745300087590223</c:v>
                </c:pt>
                <c:pt idx="85">
                  <c:v>37.102099950746265</c:v>
                </c:pt>
                <c:pt idx="86">
                  <c:v>36.457180444671501</c:v>
                </c:pt>
                <c:pt idx="87">
                  <c:v>35.811024856615639</c:v>
                </c:pt>
                <c:pt idx="88">
                  <c:v>35.164092788619605</c:v>
                </c:pt>
                <c:pt idx="89">
                  <c:v>34.516828810588144</c:v>
                </c:pt>
                <c:pt idx="90">
                  <c:v>33.869671035261717</c:v>
                </c:pt>
                <c:pt idx="91">
                  <c:v>33.223059657067886</c:v>
                </c:pt>
                <c:pt idx="92">
                  <c:v>32.577445504168168</c:v>
                </c:pt>
                <c:pt idx="93">
                  <c:v>31.933298650785012</c:v>
                </c:pt>
                <c:pt idx="94">
                  <c:v>31.291117124976086</c:v>
                </c:pt>
                <c:pt idx="95">
                  <c:v>30.651435724697834</c:v>
                </c:pt>
                <c:pt idx="96">
                  <c:v>30.014834921082201</c:v>
                </c:pt>
                <c:pt idx="97">
                  <c:v>29.381949780758482</c:v>
                </c:pt>
                <c:pt idx="98">
                  <c:v>28.753478777102501</c:v>
                </c:pt>
                <c:pt idx="99">
                  <c:v>28.130192282052022</c:v>
                </c:pt>
                <c:pt idx="100">
                  <c:v>27.512940434993201</c:v>
                </c:pt>
                <c:pt idx="101">
                  <c:v>26.902659974255069</c:v>
                </c:pt>
                <c:pt idx="102">
                  <c:v>26.300379493742511</c:v>
                </c:pt>
                <c:pt idx="103">
                  <c:v>25.707222460001574</c:v>
                </c:pt>
                <c:pt idx="104">
                  <c:v>25.124407206701321</c:v>
                </c:pt>
                <c:pt idx="105">
                  <c:v>24.55324303377656</c:v>
                </c:pt>
                <c:pt idx="106">
                  <c:v>23.995121503632781</c:v>
                </c:pt>
                <c:pt idx="107">
                  <c:v>23.451502078736926</c:v>
                </c:pt>
                <c:pt idx="108">
                  <c:v>22.923891417365709</c:v>
                </c:pt>
                <c:pt idx="109">
                  <c:v>22.413815966357184</c:v>
                </c:pt>
                <c:pt idx="110">
                  <c:v>21.922787976277295</c:v>
                </c:pt>
                <c:pt idx="111">
                  <c:v>21.452265704727768</c:v>
                </c:pt>
                <c:pt idx="112">
                  <c:v>21.003609320906786</c:v>
                </c:pt>
                <c:pt idx="113">
                  <c:v>20.578034791378517</c:v>
                </c:pt>
                <c:pt idx="114">
                  <c:v>20.176568690026688</c:v>
                </c:pt>
                <c:pt idx="115">
                  <c:v>19.80000729396917</c:v>
                </c:pt>
                <c:pt idx="116">
                  <c:v>19.448883375475809</c:v>
                </c:pt>
                <c:pt idx="117">
                  <c:v>19.123443702209311</c:v>
                </c:pt>
                <c:pt idx="118">
                  <c:v>18.823639420751704</c:v>
                </c:pt>
                <c:pt idx="119">
                  <c:v>18.549130321508436</c:v>
                </c:pt>
                <c:pt idx="120">
                  <c:v>18.299302645763252</c:v>
                </c:pt>
                <c:pt idx="121">
                  <c:v>18.073298815891867</c:v>
                </c:pt>
                <c:pt idx="122">
                  <c:v>17.870056451428653</c:v>
                </c:pt>
                <c:pt idx="123">
                  <c:v>17.68835341831776</c:v>
                </c:pt>
                <c:pt idx="124">
                  <c:v>17.526855497557239</c:v>
                </c:pt>
                <c:pt idx="125">
                  <c:v>17.384163513202793</c:v>
                </c:pt>
                <c:pt idx="126">
                  <c:v>17.258857321603795</c:v>
                </c:pt>
                <c:pt idx="127">
                  <c:v>17.149534795314125</c:v>
                </c:pt>
                <c:pt idx="128">
                  <c:v>17.054844701172421</c:v>
                </c:pt>
                <c:pt idx="129">
                  <c:v>16.973513065738018</c:v>
                </c:pt>
                <c:pt idx="130">
                  <c:v>16.904363175536627</c:v>
                </c:pt>
                <c:pt idx="131">
                  <c:v>16.846329746419123</c:v>
                </c:pt>
                <c:pt idx="132">
                  <c:v>16.798468018495292</c:v>
                </c:pt>
                <c:pt idx="133">
                  <c:v>16.759958612653612</c:v>
                </c:pt>
                <c:pt idx="134">
                  <c:v>16.730108952445512</c:v>
                </c:pt>
                <c:pt idx="135">
                  <c:v>16.708351942676646</c:v>
                </c:pt>
                <c:pt idx="136">
                  <c:v>16.694242431002255</c:v>
                </c:pt>
                <c:pt idx="137">
                  <c:v>16.687451782831975</c:v>
                </c:pt>
                <c:pt idx="138">
                  <c:v>16.687760688861832</c:v>
                </c:pt>
                <c:pt idx="139">
                  <c:v>16.695050110385296</c:v>
                </c:pt>
                <c:pt idx="140">
                  <c:v>16.70929006014989</c:v>
                </c:pt>
                <c:pt idx="141">
                  <c:v>16.730525726715214</c:v>
                </c:pt>
                <c:pt idx="142">
                  <c:v>16.758860292158278</c:v>
                </c:pt>
                <c:pt idx="143">
                  <c:v>16.794433686247849</c:v>
                </c:pt>
                <c:pt idx="144">
                  <c:v>16.837396491213013</c:v>
                </c:pt>
                <c:pt idx="145">
                  <c:v>16.887878292618659</c:v>
                </c:pt>
                <c:pt idx="146">
                  <c:v>16.945949999586954</c:v>
                </c:pt>
                <c:pt idx="147">
                  <c:v>17.011580064815075</c:v>
                </c:pt>
                <c:pt idx="148">
                  <c:v>17.084585142138017</c:v>
                </c:pt>
                <c:pt idx="149">
                  <c:v>17.164576522329373</c:v>
                </c:pt>
                <c:pt idx="150">
                  <c:v>17.250904643953966</c:v>
                </c:pt>
                <c:pt idx="151">
                  <c:v>17.342604995516716</c:v>
                </c:pt>
                <c:pt idx="152">
                  <c:v>17.438349669815317</c:v>
                </c:pt>
                <c:pt idx="153">
                  <c:v>17.536409527518625</c:v>
                </c:pt>
                <c:pt idx="154">
                  <c:v>17.634632191921245</c:v>
                </c:pt>
                <c:pt idx="155">
                  <c:v>17.730440776920702</c:v>
                </c:pt>
                <c:pt idx="156">
                  <c:v>17.820857260432902</c:v>
                </c:pt>
                <c:pt idx="157">
                  <c:v>17.902552768799264</c:v>
                </c:pt>
                <c:pt idx="158">
                  <c:v>17.971924855759923</c:v>
                </c:pt>
                <c:pt idx="159">
                  <c:v>18.025199359884706</c:v>
                </c:pt>
                <c:pt idx="160">
                  <c:v>18.058551890893916</c:v>
                </c:pt>
                <c:pt idx="161">
                  <c:v>18.068241740047942</c:v>
                </c:pt>
                <c:pt idx="162">
                  <c:v>18.050749334114649</c:v>
                </c:pt>
                <c:pt idx="163">
                  <c:v>18.002907510232706</c:v>
                </c:pt>
                <c:pt idx="164">
                  <c:v>17.922017050200072</c:v>
                </c:pt>
                <c:pt idx="165">
                  <c:v>17.80593812697569</c:v>
                </c:pt>
                <c:pt idx="166">
                  <c:v>17.65315148400612</c:v>
                </c:pt>
                <c:pt idx="167">
                  <c:v>17.462786033289845</c:v>
                </c:pt>
                <c:pt idx="168">
                  <c:v>17.234612735996581</c:v>
                </c:pt>
                <c:pt idx="169">
                  <c:v>16.969007672293969</c:v>
                </c:pt>
                <c:pt idx="170">
                  <c:v>16.666889695078375</c:v>
                </c:pt>
                <c:pt idx="171">
                  <c:v>16.32963969219168</c:v>
                </c:pt>
                <c:pt idx="172">
                  <c:v>15.959009123965609</c:v>
                </c:pt>
                <c:pt idx="173">
                  <c:v>15.55702521150614</c:v>
                </c:pt>
                <c:pt idx="174">
                  <c:v>15.125899126295369</c:v>
                </c:pt>
                <c:pt idx="175">
                  <c:v>14.667942053880447</c:v>
                </c:pt>
                <c:pt idx="176">
                  <c:v>14.18549236293798</c:v>
                </c:pt>
                <c:pt idx="177">
                  <c:v>13.680855548045914</c:v>
                </c:pt>
                <c:pt idx="178">
                  <c:v>13.156257294639349</c:v>
                </c:pt>
                <c:pt idx="179">
                  <c:v>12.613809019728141</c:v>
                </c:pt>
                <c:pt idx="180">
                  <c:v>12.055484584136501</c:v>
                </c:pt>
                <c:pt idx="181">
                  <c:v>11.483106515434562</c:v>
                </c:pt>
                <c:pt idx="182">
                  <c:v>10.89833996406923</c:v>
                </c:pt>
                <c:pt idx="183">
                  <c:v>10.302692670021768</c:v>
                </c:pt>
                <c:pt idx="184">
                  <c:v>9.6975193802820154</c:v>
                </c:pt>
                <c:pt idx="185">
                  <c:v>9.084029376732266</c:v>
                </c:pt>
                <c:pt idx="186">
                  <c:v>8.4632960114214875</c:v>
                </c:pt>
                <c:pt idx="187">
                  <c:v>7.8362673761385881</c:v>
                </c:pt>
                <c:pt idx="188">
                  <c:v>7.2037774406288877</c:v>
                </c:pt>
                <c:pt idx="189">
                  <c:v>6.5665571715406328</c:v>
                </c:pt>
                <c:pt idx="190">
                  <c:v>5.925245290432537</c:v>
                </c:pt>
                <c:pt idx="191">
                  <c:v>5.2803984453821382</c:v>
                </c:pt>
                <c:pt idx="192">
                  <c:v>4.6325006602602539</c:v>
                </c:pt>
                <c:pt idx="193">
                  <c:v>3.9819719925923818</c:v>
                </c:pt>
                <c:pt idx="194">
                  <c:v>3.3291763792718072</c:v>
                </c:pt>
                <c:pt idx="195">
                  <c:v>2.6744286830525308</c:v>
                </c:pt>
                <c:pt idx="196">
                  <c:v>2.0180009750821064</c:v>
                </c:pt>
                <c:pt idx="197">
                  <c:v>1.3601281025367014</c:v>
                </c:pt>
                <c:pt idx="198">
                  <c:v>0.70101259796445703</c:v>
                </c:pt>
                <c:pt idx="199">
                  <c:v>4.0828990016518851E-2</c:v>
                </c:pt>
                <c:pt idx="200">
                  <c:v>-0.62027242477691757</c:v>
                </c:pt>
                <c:pt idx="201">
                  <c:v>-1.2821622915973672</c:v>
                </c:pt>
                <c:pt idx="202">
                  <c:v>-1.9447293340633705</c:v>
                </c:pt>
                <c:pt idx="203">
                  <c:v>-2.6078778679383516</c:v>
                </c:pt>
                <c:pt idx="204">
                  <c:v>-3.2715256460818871</c:v>
                </c:pt>
                <c:pt idx="205">
                  <c:v>-3.9356019933758546</c:v>
                </c:pt>
                <c:pt idx="206">
                  <c:v>-4.6000461947173461</c:v>
                </c:pt>
                <c:pt idx="207">
                  <c:v>-5.2648061032881781</c:v>
                </c:pt>
                <c:pt idx="208">
                  <c:v>-5.9298369401421427</c:v>
                </c:pt>
                <c:pt idx="209">
                  <c:v>-6.5951002596485884</c:v>
                </c:pt>
                <c:pt idx="210">
                  <c:v>-7.2605630584938865</c:v>
                </c:pt>
              </c:numCache>
            </c:numRef>
          </c:yVal>
          <c:smooth val="1"/>
        </c:ser>
        <c:dLbls>
          <c:showLegendKey val="0"/>
          <c:showVal val="0"/>
          <c:showCatName val="0"/>
          <c:showSerName val="0"/>
          <c:showPercent val="0"/>
          <c:showBubbleSize val="0"/>
        </c:dLbls>
        <c:axId val="205792768"/>
        <c:axId val="205794688"/>
      </c:scatterChart>
      <c:scatterChart>
        <c:scatterStyle val="smoothMarker"/>
        <c:varyColors val="0"/>
        <c:ser>
          <c:idx val="5"/>
          <c:order val="1"/>
          <c:tx>
            <c:v>Overall Phase</c:v>
          </c:tx>
          <c:spPr>
            <a:ln w="38100">
              <a:solidFill>
                <a:srgbClr val="000000"/>
              </a:solidFill>
              <a:prstDash val="sysDash"/>
            </a:ln>
          </c:spPr>
          <c:marker>
            <c:symbol val="none"/>
          </c:marker>
          <c:xVal>
            <c:numRef>
              <c:f>'Small Signal'!$L$2:$L$212</c:f>
              <c:numCache>
                <c:formatCode>General</c:formatCode>
                <c:ptCount val="211"/>
                <c:pt idx="0">
                  <c:v>1</c:v>
                </c:pt>
                <c:pt idx="1">
                  <c:v>1.0797751623277096</c:v>
                </c:pt>
                <c:pt idx="2">
                  <c:v>1.1659144011798317</c:v>
                </c:pt>
                <c:pt idx="3">
                  <c:v>1.2589254117941673</c:v>
                </c:pt>
                <c:pt idx="4">
                  <c:v>1.3593563908785258</c:v>
                </c:pt>
                <c:pt idx="5">
                  <c:v>1.4677992676220697</c:v>
                </c:pt>
                <c:pt idx="6">
                  <c:v>1.5848931924611136</c:v>
                </c:pt>
                <c:pt idx="7">
                  <c:v>1.7113283041617808</c:v>
                </c:pt>
                <c:pt idx="8">
                  <c:v>1.8478497974222912</c:v>
                </c:pt>
                <c:pt idx="9">
                  <c:v>1.9952623149688797</c:v>
                </c:pt>
                <c:pt idx="10">
                  <c:v>2.1544346900318838</c:v>
                </c:pt>
                <c:pt idx="11">
                  <c:v>2.3263050671536263</c:v>
                </c:pt>
                <c:pt idx="12">
                  <c:v>2.5118864315095806</c:v>
                </c:pt>
                <c:pt idx="13">
                  <c:v>2.7122725793320286</c:v>
                </c:pt>
                <c:pt idx="14">
                  <c:v>2.9286445646252366</c:v>
                </c:pt>
                <c:pt idx="15">
                  <c:v>3.1622776601683795</c:v>
                </c:pt>
                <c:pt idx="16">
                  <c:v>3.4145488738336023</c:v>
                </c:pt>
                <c:pt idx="17">
                  <c:v>3.6869450645195756</c:v>
                </c:pt>
                <c:pt idx="18">
                  <c:v>3.9810717055349727</c:v>
                </c:pt>
                <c:pt idx="19">
                  <c:v>4.2986623470822769</c:v>
                </c:pt>
                <c:pt idx="20">
                  <c:v>4.6415888336127793</c:v>
                </c:pt>
                <c:pt idx="21">
                  <c:v>5.0118723362727229</c:v>
                </c:pt>
                <c:pt idx="22">
                  <c:v>5.4116952654646369</c:v>
                </c:pt>
                <c:pt idx="23">
                  <c:v>5.8434141337351777</c:v>
                </c:pt>
                <c:pt idx="24">
                  <c:v>6.3095734448019343</c:v>
                </c:pt>
                <c:pt idx="25">
                  <c:v>6.812920690579614</c:v>
                </c:pt>
                <c:pt idx="26">
                  <c:v>7.3564225445964153</c:v>
                </c:pt>
                <c:pt idx="27">
                  <c:v>7.9432823472428176</c:v>
                </c:pt>
                <c:pt idx="28">
                  <c:v>8.5769589859089415</c:v>
                </c:pt>
                <c:pt idx="29">
                  <c:v>9.2611872812879383</c:v>
                </c:pt>
                <c:pt idx="30">
                  <c:v>10</c:v>
                </c:pt>
                <c:pt idx="31">
                  <c:v>10.797751623277103</c:v>
                </c:pt>
                <c:pt idx="32">
                  <c:v>11.659144011798322</c:v>
                </c:pt>
                <c:pt idx="33">
                  <c:v>12.58925411794168</c:v>
                </c:pt>
                <c:pt idx="34">
                  <c:v>13.593563908785256</c:v>
                </c:pt>
                <c:pt idx="35">
                  <c:v>14.677992676220699</c:v>
                </c:pt>
                <c:pt idx="36">
                  <c:v>15.848931924611136</c:v>
                </c:pt>
                <c:pt idx="37">
                  <c:v>17.113283041617812</c:v>
                </c:pt>
                <c:pt idx="38">
                  <c:v>18.478497974222911</c:v>
                </c:pt>
                <c:pt idx="39">
                  <c:v>19.952623149688804</c:v>
                </c:pt>
                <c:pt idx="40">
                  <c:v>21.544346900318843</c:v>
                </c:pt>
                <c:pt idx="41">
                  <c:v>23.263050671536273</c:v>
                </c:pt>
                <c:pt idx="42">
                  <c:v>25.118864315095799</c:v>
                </c:pt>
                <c:pt idx="43">
                  <c:v>27.122725793320289</c:v>
                </c:pt>
                <c:pt idx="44">
                  <c:v>29.286445646252368</c:v>
                </c:pt>
                <c:pt idx="45">
                  <c:v>31.622776601683803</c:v>
                </c:pt>
                <c:pt idx="46">
                  <c:v>34.145488738336034</c:v>
                </c:pt>
                <c:pt idx="47">
                  <c:v>36.869450645195769</c:v>
                </c:pt>
                <c:pt idx="48">
                  <c:v>39.810717055349755</c:v>
                </c:pt>
                <c:pt idx="49">
                  <c:v>42.986623470822771</c:v>
                </c:pt>
                <c:pt idx="50">
                  <c:v>46.415888336127807</c:v>
                </c:pt>
                <c:pt idx="51">
                  <c:v>50.118723362727238</c:v>
                </c:pt>
                <c:pt idx="52">
                  <c:v>54.11695265464639</c:v>
                </c:pt>
                <c:pt idx="53">
                  <c:v>58.434141337351775</c:v>
                </c:pt>
                <c:pt idx="54">
                  <c:v>63.095734448019364</c:v>
                </c:pt>
                <c:pt idx="55">
                  <c:v>68.129206905796124</c:v>
                </c:pt>
                <c:pt idx="56">
                  <c:v>73.564225445964155</c:v>
                </c:pt>
                <c:pt idx="57">
                  <c:v>79.432823472428197</c:v>
                </c:pt>
                <c:pt idx="58">
                  <c:v>85.769589859089479</c:v>
                </c:pt>
                <c:pt idx="59">
                  <c:v>92.611872812879369</c:v>
                </c:pt>
                <c:pt idx="60">
                  <c:v>100</c:v>
                </c:pt>
                <c:pt idx="61">
                  <c:v>107.97751623277095</c:v>
                </c:pt>
                <c:pt idx="62">
                  <c:v>116.59144011798328</c:v>
                </c:pt>
                <c:pt idx="63">
                  <c:v>125.89254117941677</c:v>
                </c:pt>
                <c:pt idx="64">
                  <c:v>135.93563908785265</c:v>
                </c:pt>
                <c:pt idx="65">
                  <c:v>146.77992676220697</c:v>
                </c:pt>
                <c:pt idx="66">
                  <c:v>158.48931924611153</c:v>
                </c:pt>
                <c:pt idx="67">
                  <c:v>171.13283041617817</c:v>
                </c:pt>
                <c:pt idx="68">
                  <c:v>184.7849797422291</c:v>
                </c:pt>
                <c:pt idx="69">
                  <c:v>199.52623149688802</c:v>
                </c:pt>
                <c:pt idx="70">
                  <c:v>215.44346900318848</c:v>
                </c:pt>
                <c:pt idx="71">
                  <c:v>232.6305067153628</c:v>
                </c:pt>
                <c:pt idx="72">
                  <c:v>251.18864315095806</c:v>
                </c:pt>
                <c:pt idx="73">
                  <c:v>271.22725793320296</c:v>
                </c:pt>
                <c:pt idx="74">
                  <c:v>292.86445646252383</c:v>
                </c:pt>
                <c:pt idx="75">
                  <c:v>316.22776601683825</c:v>
                </c:pt>
                <c:pt idx="76">
                  <c:v>341.4548873833603</c:v>
                </c:pt>
                <c:pt idx="77">
                  <c:v>368.69450645195781</c:v>
                </c:pt>
                <c:pt idx="78">
                  <c:v>398.10717055349761</c:v>
                </c:pt>
                <c:pt idx="79">
                  <c:v>429.86623470822781</c:v>
                </c:pt>
                <c:pt idx="80">
                  <c:v>464.15888336127819</c:v>
                </c:pt>
                <c:pt idx="81">
                  <c:v>501.18723362727269</c:v>
                </c:pt>
                <c:pt idx="82">
                  <c:v>541.16952654646434</c:v>
                </c:pt>
                <c:pt idx="83">
                  <c:v>584.34141337351787</c:v>
                </c:pt>
                <c:pt idx="84">
                  <c:v>630.95734448019323</c:v>
                </c:pt>
                <c:pt idx="85">
                  <c:v>681.29206905796195</c:v>
                </c:pt>
                <c:pt idx="86">
                  <c:v>735.64225445964166</c:v>
                </c:pt>
                <c:pt idx="87">
                  <c:v>794.32823472428208</c:v>
                </c:pt>
                <c:pt idx="88">
                  <c:v>857.69589859089422</c:v>
                </c:pt>
                <c:pt idx="89">
                  <c:v>926.11872812879471</c:v>
                </c:pt>
                <c:pt idx="90">
                  <c:v>1000</c:v>
                </c:pt>
                <c:pt idx="91">
                  <c:v>1079.7751623277097</c:v>
                </c:pt>
                <c:pt idx="92">
                  <c:v>1165.914401179833</c:v>
                </c:pt>
                <c:pt idx="93">
                  <c:v>1258.925411794168</c:v>
                </c:pt>
                <c:pt idx="94">
                  <c:v>1359.3563908785268</c:v>
                </c:pt>
                <c:pt idx="95">
                  <c:v>1467.7992676220699</c:v>
                </c:pt>
                <c:pt idx="96">
                  <c:v>1584.8931924611156</c:v>
                </c:pt>
                <c:pt idx="97">
                  <c:v>1711.3283041617822</c:v>
                </c:pt>
                <c:pt idx="98">
                  <c:v>1847.8497974222912</c:v>
                </c:pt>
                <c:pt idx="99">
                  <c:v>1995.2623149688804</c:v>
                </c:pt>
                <c:pt idx="100">
                  <c:v>2154.4346900318851</c:v>
                </c:pt>
                <c:pt idx="101">
                  <c:v>2326.3050671536284</c:v>
                </c:pt>
                <c:pt idx="102">
                  <c:v>2511.8864315095811</c:v>
                </c:pt>
                <c:pt idx="103">
                  <c:v>2712.2725793320301</c:v>
                </c:pt>
                <c:pt idx="104">
                  <c:v>2928.6445646252391</c:v>
                </c:pt>
                <c:pt idx="105">
                  <c:v>3162.2776601683804</c:v>
                </c:pt>
                <c:pt idx="106">
                  <c:v>3414.5488738336035</c:v>
                </c:pt>
                <c:pt idx="107">
                  <c:v>3686.9450645195784</c:v>
                </c:pt>
                <c:pt idx="108">
                  <c:v>3981.0717055349769</c:v>
                </c:pt>
                <c:pt idx="109">
                  <c:v>4298.6623470822833</c:v>
                </c:pt>
                <c:pt idx="110">
                  <c:v>4641.5888336127782</c:v>
                </c:pt>
                <c:pt idx="111">
                  <c:v>5011.8723362727324</c:v>
                </c:pt>
                <c:pt idx="112">
                  <c:v>5411.6952654646393</c:v>
                </c:pt>
                <c:pt idx="113">
                  <c:v>5843.4141337351803</c:v>
                </c:pt>
                <c:pt idx="114">
                  <c:v>6309.5734448019384</c:v>
                </c:pt>
                <c:pt idx="115">
                  <c:v>6812.9206905796218</c:v>
                </c:pt>
                <c:pt idx="116">
                  <c:v>7356.4225445964248</c:v>
                </c:pt>
                <c:pt idx="117">
                  <c:v>7943.2823472428154</c:v>
                </c:pt>
                <c:pt idx="118">
                  <c:v>8576.9589859089447</c:v>
                </c:pt>
                <c:pt idx="119">
                  <c:v>9261.187281287941</c:v>
                </c:pt>
                <c:pt idx="120">
                  <c:v>10000</c:v>
                </c:pt>
                <c:pt idx="121">
                  <c:v>10797.751623277109</c:v>
                </c:pt>
                <c:pt idx="122">
                  <c:v>11659.144011798313</c:v>
                </c:pt>
                <c:pt idx="123">
                  <c:v>12589.254117941671</c:v>
                </c:pt>
                <c:pt idx="124">
                  <c:v>13593.563908785283</c:v>
                </c:pt>
                <c:pt idx="125">
                  <c:v>14677.992676220729</c:v>
                </c:pt>
                <c:pt idx="126">
                  <c:v>15848.931924611146</c:v>
                </c:pt>
                <c:pt idx="127">
                  <c:v>17113.283041617826</c:v>
                </c:pt>
                <c:pt idx="128">
                  <c:v>18478.497974222933</c:v>
                </c:pt>
                <c:pt idx="129">
                  <c:v>19952.623149688792</c:v>
                </c:pt>
                <c:pt idx="130">
                  <c:v>21544.346900318837</c:v>
                </c:pt>
                <c:pt idx="131">
                  <c:v>23263.050671536268</c:v>
                </c:pt>
                <c:pt idx="132">
                  <c:v>25118.86431509586</c:v>
                </c:pt>
                <c:pt idx="133">
                  <c:v>27122.725793320307</c:v>
                </c:pt>
                <c:pt idx="134">
                  <c:v>29286.445646252399</c:v>
                </c:pt>
                <c:pt idx="135">
                  <c:v>31622.77660168384</c:v>
                </c:pt>
                <c:pt idx="136">
                  <c:v>34145.488738336011</c:v>
                </c:pt>
                <c:pt idx="137">
                  <c:v>36869.450645195764</c:v>
                </c:pt>
                <c:pt idx="138">
                  <c:v>39810.717055349742</c:v>
                </c:pt>
                <c:pt idx="139">
                  <c:v>42986.62347082288</c:v>
                </c:pt>
                <c:pt idx="140">
                  <c:v>46415.888336127835</c:v>
                </c:pt>
                <c:pt idx="141">
                  <c:v>50118.723362727294</c:v>
                </c:pt>
                <c:pt idx="142">
                  <c:v>54116.952654646455</c:v>
                </c:pt>
                <c:pt idx="143">
                  <c:v>58434.141337351764</c:v>
                </c:pt>
                <c:pt idx="144">
                  <c:v>63095.734448019342</c:v>
                </c:pt>
                <c:pt idx="145">
                  <c:v>68129.206905796163</c:v>
                </c:pt>
                <c:pt idx="146">
                  <c:v>73564.225445964199</c:v>
                </c:pt>
                <c:pt idx="147">
                  <c:v>79432.823472428237</c:v>
                </c:pt>
                <c:pt idx="148">
                  <c:v>85769.589859089538</c:v>
                </c:pt>
                <c:pt idx="149">
                  <c:v>92611.872812879505</c:v>
                </c:pt>
                <c:pt idx="150">
                  <c:v>100000</c:v>
                </c:pt>
                <c:pt idx="151">
                  <c:v>107977.51623277101</c:v>
                </c:pt>
                <c:pt idx="152">
                  <c:v>116591.44011798326</c:v>
                </c:pt>
                <c:pt idx="153">
                  <c:v>125892.54117941685</c:v>
                </c:pt>
                <c:pt idx="154">
                  <c:v>135935.63908785273</c:v>
                </c:pt>
                <c:pt idx="155">
                  <c:v>146779.92676220718</c:v>
                </c:pt>
                <c:pt idx="156">
                  <c:v>158489.31924611164</c:v>
                </c:pt>
                <c:pt idx="157">
                  <c:v>171132.83041617845</c:v>
                </c:pt>
                <c:pt idx="158">
                  <c:v>184784.97974222922</c:v>
                </c:pt>
                <c:pt idx="159">
                  <c:v>199526.23149688813</c:v>
                </c:pt>
                <c:pt idx="160">
                  <c:v>215443.46900318863</c:v>
                </c:pt>
                <c:pt idx="161">
                  <c:v>232630.50671536254</c:v>
                </c:pt>
                <c:pt idx="162">
                  <c:v>251188.64315095844</c:v>
                </c:pt>
                <c:pt idx="163">
                  <c:v>271227.25793320336</c:v>
                </c:pt>
                <c:pt idx="164">
                  <c:v>292864.45646252431</c:v>
                </c:pt>
                <c:pt idx="165">
                  <c:v>316227.7660168382</c:v>
                </c:pt>
                <c:pt idx="166">
                  <c:v>341454.88738336053</c:v>
                </c:pt>
                <c:pt idx="167">
                  <c:v>368694.50645195803</c:v>
                </c:pt>
                <c:pt idx="168">
                  <c:v>398107.17055349716</c:v>
                </c:pt>
                <c:pt idx="169">
                  <c:v>429866.2347082285</c:v>
                </c:pt>
                <c:pt idx="170">
                  <c:v>464158.88336127886</c:v>
                </c:pt>
                <c:pt idx="171">
                  <c:v>501187.23362727347</c:v>
                </c:pt>
                <c:pt idx="172">
                  <c:v>541169.52654646419</c:v>
                </c:pt>
                <c:pt idx="173">
                  <c:v>584341.41337351827</c:v>
                </c:pt>
                <c:pt idx="174">
                  <c:v>630957.34448019415</c:v>
                </c:pt>
                <c:pt idx="175">
                  <c:v>681292.06905796123</c:v>
                </c:pt>
                <c:pt idx="176">
                  <c:v>735642.25445964152</c:v>
                </c:pt>
                <c:pt idx="177">
                  <c:v>794328.23472428333</c:v>
                </c:pt>
                <c:pt idx="178">
                  <c:v>857695.89859089628</c:v>
                </c:pt>
                <c:pt idx="179">
                  <c:v>926118.72812879446</c:v>
                </c:pt>
                <c:pt idx="180">
                  <c:v>1000000</c:v>
                </c:pt>
                <c:pt idx="181">
                  <c:v>1079775.1623277115</c:v>
                </c:pt>
                <c:pt idx="182">
                  <c:v>1165914.4011798317</c:v>
                </c:pt>
                <c:pt idx="183">
                  <c:v>1258925.4117941677</c:v>
                </c:pt>
                <c:pt idx="184">
                  <c:v>1359356.3908785288</c:v>
                </c:pt>
                <c:pt idx="185">
                  <c:v>1467799.2676220734</c:v>
                </c:pt>
                <c:pt idx="186">
                  <c:v>1584893.1924611153</c:v>
                </c:pt>
                <c:pt idx="187">
                  <c:v>1711328.3041617833</c:v>
                </c:pt>
                <c:pt idx="188">
                  <c:v>1847849.797422294</c:v>
                </c:pt>
                <c:pt idx="189">
                  <c:v>1995262.31496888</c:v>
                </c:pt>
                <c:pt idx="190">
                  <c:v>2154434.6900318847</c:v>
                </c:pt>
                <c:pt idx="191">
                  <c:v>2326305.067153628</c:v>
                </c:pt>
                <c:pt idx="192">
                  <c:v>2511886.431509587</c:v>
                </c:pt>
                <c:pt idx="193">
                  <c:v>2712272.5793320318</c:v>
                </c:pt>
                <c:pt idx="194">
                  <c:v>2928644.5646252413</c:v>
                </c:pt>
                <c:pt idx="195">
                  <c:v>3162277.6601683851</c:v>
                </c:pt>
                <c:pt idx="196">
                  <c:v>3414548.8738336028</c:v>
                </c:pt>
                <c:pt idx="197">
                  <c:v>3686945.0645195777</c:v>
                </c:pt>
                <c:pt idx="198">
                  <c:v>3981071.705534976</c:v>
                </c:pt>
                <c:pt idx="199">
                  <c:v>4298662.3470822899</c:v>
                </c:pt>
                <c:pt idx="200">
                  <c:v>4641588.8336127857</c:v>
                </c:pt>
                <c:pt idx="201">
                  <c:v>5011872.3362727314</c:v>
                </c:pt>
                <c:pt idx="202">
                  <c:v>5411695.2654646477</c:v>
                </c:pt>
                <c:pt idx="203">
                  <c:v>5843414.133735179</c:v>
                </c:pt>
                <c:pt idx="204">
                  <c:v>6309573.4448019378</c:v>
                </c:pt>
                <c:pt idx="205">
                  <c:v>6812920.6905796202</c:v>
                </c:pt>
                <c:pt idx="206">
                  <c:v>7356422.5445964225</c:v>
                </c:pt>
                <c:pt idx="207">
                  <c:v>7943282.3472428275</c:v>
                </c:pt>
                <c:pt idx="208">
                  <c:v>8576958.9859089572</c:v>
                </c:pt>
                <c:pt idx="209">
                  <c:v>9261187.2812879551</c:v>
                </c:pt>
                <c:pt idx="210">
                  <c:v>10000000</c:v>
                </c:pt>
              </c:numCache>
            </c:numRef>
          </c:xVal>
          <c:yVal>
            <c:numRef>
              <c:f>'Small Signal'!$Q$2:$Q$212</c:f>
              <c:numCache>
                <c:formatCode>General</c:formatCode>
                <c:ptCount val="211"/>
                <c:pt idx="0">
                  <c:v>179.47514210920926</c:v>
                </c:pt>
                <c:pt idx="1">
                  <c:v>179.43327403033484</c:v>
                </c:pt>
                <c:pt idx="2">
                  <c:v>179.38806657746701</c:v>
                </c:pt>
                <c:pt idx="3">
                  <c:v>179.33925352205569</c:v>
                </c:pt>
                <c:pt idx="4">
                  <c:v>179.28654744127292</c:v>
                </c:pt>
                <c:pt idx="5">
                  <c:v>179.22963803866105</c:v>
                </c:pt>
                <c:pt idx="6">
                  <c:v>179.16819033376615</c:v>
                </c:pt>
                <c:pt idx="7">
                  <c:v>179.10184271106843</c:v>
                </c:pt>
                <c:pt idx="8">
                  <c:v>179.03020481794672</c:v>
                </c:pt>
                <c:pt idx="9">
                  <c:v>178.95285530084288</c:v>
                </c:pt>
                <c:pt idx="10">
                  <c:v>178.869339368239</c:v>
                </c:pt>
                <c:pt idx="11">
                  <c:v>178.77916616854571</c:v>
                </c:pt>
                <c:pt idx="12">
                  <c:v>178.68180597053998</c:v>
                </c:pt>
                <c:pt idx="13">
                  <c:v>178.57668713362705</c:v>
                </c:pt>
                <c:pt idx="14">
                  <c:v>178.46319285495977</c:v>
                </c:pt>
                <c:pt idx="15">
                  <c:v>178.34065768039304</c:v>
                </c:pt>
                <c:pt idx="16">
                  <c:v>178.20836376643359</c:v>
                </c:pt>
                <c:pt idx="17">
                  <c:v>178.06553688085896</c:v>
                </c:pt>
                <c:pt idx="18">
                  <c:v>177.91134213061852</c:v>
                </c:pt>
                <c:pt idx="19">
                  <c:v>177.74487940713223</c:v>
                </c:pt>
                <c:pt idx="20">
                  <c:v>177.56517854132895</c:v>
                </c:pt>
                <c:pt idx="21">
                  <c:v>177.37119416392392</c:v>
                </c:pt>
                <c:pt idx="22">
                  <c:v>177.16180027078187</c:v>
                </c:pt>
                <c:pt idx="23">
                  <c:v>176.9357844990646</c:v>
                </c:pt>
                <c:pt idx="24">
                  <c:v>176.69184212761706</c:v>
                </c:pt>
                <c:pt idx="25">
                  <c:v>176.42856982518447</c:v>
                </c:pt>
                <c:pt idx="26">
                  <c:v>176.14445918317091</c:v>
                </c:pt>
                <c:pt idx="27">
                  <c:v>175.83789008645914</c:v>
                </c:pt>
                <c:pt idx="28">
                  <c:v>175.50712399717835</c:v>
                </c:pt>
                <c:pt idx="29">
                  <c:v>175.15029725325297</c:v>
                </c:pt>
                <c:pt idx="30">
                  <c:v>174.76541451729736</c:v>
                </c:pt>
                <c:pt idx="31">
                  <c:v>174.35034255332138</c:v>
                </c:pt>
                <c:pt idx="32">
                  <c:v>173.90280456035137</c:v>
                </c:pt>
                <c:pt idx="33">
                  <c:v>173.42037535515445</c:v>
                </c:pt>
                <c:pt idx="34">
                  <c:v>172.90047777258155</c:v>
                </c:pt>
                <c:pt idx="35">
                  <c:v>172.34038074334885</c:v>
                </c:pt>
                <c:pt idx="36">
                  <c:v>171.73719961686615</c:v>
                </c:pt>
                <c:pt idx="37">
                  <c:v>171.08789942189301</c:v>
                </c:pt>
                <c:pt idx="38">
                  <c:v>170.38930190024482</c:v>
                </c:pt>
                <c:pt idx="39">
                  <c:v>169.63809730658488</c:v>
                </c:pt>
                <c:pt idx="40">
                  <c:v>168.83086213599711</c:v>
                </c:pt>
                <c:pt idx="41">
                  <c:v>167.96408411206676</c:v>
                </c:pt>
                <c:pt idx="42">
                  <c:v>167.03419592772445</c:v>
                </c:pt>
                <c:pt idx="43">
                  <c:v>166.03761935801637</c:v>
                </c:pt>
                <c:pt idx="44">
                  <c:v>164.97082142805618</c:v>
                </c:pt>
                <c:pt idx="45">
                  <c:v>163.83038427978909</c:v>
                </c:pt>
                <c:pt idx="46">
                  <c:v>162.61309018550585</c:v>
                </c:pt>
                <c:pt idx="47">
                  <c:v>161.31602274147312</c:v>
                </c:pt>
                <c:pt idx="48">
                  <c:v>159.93668457243987</c:v>
                </c:pt>
                <c:pt idx="49">
                  <c:v>158.473130820271</c:v>
                </c:pt>
                <c:pt idx="50">
                  <c:v>156.92411622771718</c:v>
                </c:pt>
                <c:pt idx="51">
                  <c:v>155.28925175018452</c:v>
                </c:pt>
                <c:pt idx="52">
                  <c:v>153.56916438933919</c:v>
                </c:pt>
                <c:pt idx="53">
                  <c:v>151.76565149336886</c:v>
                </c:pt>
                <c:pt idx="54">
                  <c:v>149.88181838007912</c:v>
                </c:pt>
                <c:pt idx="55">
                  <c:v>147.92218620607767</c:v>
                </c:pt>
                <c:pt idx="56">
                  <c:v>145.89275602058802</c:v>
                </c:pt>
                <c:pt idx="57">
                  <c:v>143.80101542316959</c:v>
                </c:pt>
                <c:pt idx="58">
                  <c:v>141.65587661314717</c:v>
                </c:pt>
                <c:pt idx="59">
                  <c:v>139.46753905375309</c:v>
                </c:pt>
                <c:pt idx="60">
                  <c:v>137.24727627277639</c:v>
                </c:pt>
                <c:pt idx="61">
                  <c:v>135.0071538267573</c:v>
                </c:pt>
                <c:pt idx="62">
                  <c:v>132.75969310297478</c:v>
                </c:pt>
                <c:pt idx="63">
                  <c:v>130.51750213722801</c:v>
                </c:pt>
                <c:pt idx="64">
                  <c:v>128.29289877435684</c:v>
                </c:pt>
                <c:pt idx="65">
                  <c:v>126.09755247291704</c:v>
                </c:pt>
                <c:pt idx="66">
                  <c:v>123.94216865835733</c:v>
                </c:pt>
                <c:pt idx="67">
                  <c:v>121.83623424307527</c:v>
                </c:pt>
                <c:pt idx="68">
                  <c:v>119.78783578051251</c:v>
                </c:pt>
                <c:pt idx="69">
                  <c:v>117.80355398726084</c:v>
                </c:pt>
                <c:pt idx="70">
                  <c:v>115.88843127421534</c:v>
                </c:pt>
                <c:pt idx="71">
                  <c:v>114.04600337998478</c:v>
                </c:pt>
                <c:pt idx="72">
                  <c:v>112.27838265771207</c:v>
                </c:pt>
                <c:pt idx="73">
                  <c:v>110.5863790558117</c:v>
                </c:pt>
                <c:pt idx="74">
                  <c:v>108.96964505242079</c:v>
                </c:pt>
                <c:pt idx="75">
                  <c:v>107.42683227293382</c:v>
                </c:pt>
                <c:pt idx="76">
                  <c:v>105.95574972185409</c:v>
                </c:pt>
                <c:pt idx="77">
                  <c:v>104.55351603817132</c:v>
                </c:pt>
                <c:pt idx="78">
                  <c:v>103.21670059557897</c:v>
                </c:pt>
                <c:pt idx="79">
                  <c:v>101.94145039896523</c:v>
                </c:pt>
                <c:pt idx="80">
                  <c:v>100.72360147152173</c:v>
                </c:pt>
                <c:pt idx="81">
                  <c:v>99.558774760609367</c:v>
                </c:pt>
                <c:pt idx="82">
                  <c:v>98.44245754711271</c:v>
                </c:pt>
                <c:pt idx="83">
                  <c:v>97.370071982641178</c:v>
                </c:pt>
                <c:pt idx="84">
                  <c:v>96.337032771334123</c:v>
                </c:pt>
                <c:pt idx="85">
                  <c:v>95.338796225123858</c:v>
                </c:pt>
                <c:pt idx="86">
                  <c:v>94.370903010195121</c:v>
                </c:pt>
                <c:pt idx="87">
                  <c:v>93.429016912099513</c:v>
                </c:pt>
                <c:pt idx="88">
                  <c:v>92.508961907467878</c:v>
                </c:pt>
                <c:pt idx="89">
                  <c:v>91.60675975744519</c:v>
                </c:pt>
                <c:pt idx="90">
                  <c:v>90.718670234119799</c:v>
                </c:pt>
                <c:pt idx="91">
                  <c:v>89.841235945242204</c:v>
                </c:pt>
                <c:pt idx="92">
                  <c:v>88.971333510166005</c:v>
                </c:pt>
                <c:pt idx="93">
                  <c:v>88.106232523957715</c:v>
                </c:pt>
                <c:pt idx="94">
                  <c:v>87.243663277870141</c:v>
                </c:pt>
                <c:pt idx="95">
                  <c:v>86.381893524556347</c:v>
                </c:pt>
                <c:pt idx="96">
                  <c:v>85.519813623836981</c:v>
                </c:pt>
                <c:pt idx="97">
                  <c:v>84.657028125060805</c:v>
                </c:pt>
                <c:pt idx="98">
                  <c:v>83.793950204507269</c:v>
                </c:pt>
                <c:pt idx="99">
                  <c:v>82.93189339757015</c:v>
                </c:pt>
                <c:pt idx="100">
                  <c:v>82.073152838978942</c:v>
                </c:pt>
                <c:pt idx="101">
                  <c:v>81.22106595019018</c:v>
                </c:pt>
                <c:pt idx="102">
                  <c:v>80.380040521321206</c:v>
                </c:pt>
                <c:pt idx="103">
                  <c:v>79.555536886774419</c:v>
                </c:pt>
                <c:pt idx="104">
                  <c:v>78.753990945861148</c:v>
                </c:pt>
                <c:pt idx="105">
                  <c:v>77.982666697659738</c:v>
                </c:pt>
                <c:pt idx="106">
                  <c:v>77.249431176785436</c:v>
                </c:pt>
                <c:pt idx="107">
                  <c:v>76.562451319128314</c:v>
                </c:pt>
                <c:pt idx="108">
                  <c:v>75.929821002739132</c:v>
                </c:pt>
                <c:pt idx="109">
                  <c:v>75.359136373790989</c:v>
                </c:pt>
                <c:pt idx="110">
                  <c:v>74.857047121845454</c:v>
                </c:pt>
                <c:pt idx="111">
                  <c:v>74.428818833020628</c:v>
                </c:pt>
                <c:pt idx="112">
                  <c:v>74.077945192367764</c:v>
                </c:pt>
                <c:pt idx="113">
                  <c:v>73.805847383622464</c:v>
                </c:pt>
                <c:pt idx="114">
                  <c:v>73.611691171408097</c:v>
                </c:pt>
                <c:pt idx="115">
                  <c:v>73.492340541594132</c:v>
                </c:pt>
                <c:pt idx="116">
                  <c:v>73.442452113425375</c:v>
                </c:pt>
                <c:pt idx="117">
                  <c:v>73.454699183647222</c:v>
                </c:pt>
                <c:pt idx="118">
                  <c:v>73.520100733231999</c:v>
                </c:pt>
                <c:pt idx="119">
                  <c:v>73.628421134437858</c:v>
                </c:pt>
                <c:pt idx="120">
                  <c:v>73.768601904430014</c:v>
                </c:pt>
                <c:pt idx="121">
                  <c:v>73.929187860767129</c:v>
                </c:pt>
                <c:pt idx="122">
                  <c:v>74.098715635447761</c:v>
                </c:pt>
                <c:pt idx="123">
                  <c:v>74.266041178320705</c:v>
                </c:pt>
                <c:pt idx="124">
                  <c:v>74.420592821882138</c:v>
                </c:pt>
                <c:pt idx="125">
                  <c:v>74.5525460175798</c:v>
                </c:pt>
                <c:pt idx="126">
                  <c:v>74.652923757845514</c:v>
                </c:pt>
                <c:pt idx="127">
                  <c:v>74.713632309654244</c:v>
                </c:pt>
                <c:pt idx="128">
                  <c:v>74.727445088220009</c:v>
                </c:pt>
                <c:pt idx="129">
                  <c:v>74.687948581181715</c:v>
                </c:pt>
                <c:pt idx="130">
                  <c:v>74.589463706081474</c:v>
                </c:pt>
                <c:pt idx="131">
                  <c:v>74.42695441878675</c:v>
                </c:pt>
                <c:pt idx="132">
                  <c:v>74.19593330164389</c:v>
                </c:pt>
                <c:pt idx="133">
                  <c:v>73.892371640640548</c:v>
                </c:pt>
                <c:pt idx="134">
                  <c:v>73.512619405508431</c:v>
                </c:pt>
                <c:pt idx="135">
                  <c:v>73.053338704814806</c:v>
                </c:pt>
                <c:pt idx="136">
                  <c:v>72.511452731541326</c:v>
                </c:pt>
                <c:pt idx="137">
                  <c:v>71.884110909977991</c:v>
                </c:pt>
                <c:pt idx="138">
                  <c:v>71.168669833811606</c:v>
                </c:pt>
                <c:pt idx="139">
                  <c:v>70.362688571879303</c:v>
                </c:pt>
                <c:pt idx="140">
                  <c:v>69.463935951693159</c:v>
                </c:pt>
                <c:pt idx="141">
                  <c:v>68.470406488044588</c:v>
                </c:pt>
                <c:pt idx="142">
                  <c:v>67.380340738016045</c:v>
                </c:pt>
                <c:pt idx="143">
                  <c:v>66.19224513973181</c:v>
                </c:pt>
                <c:pt idx="144">
                  <c:v>64.9049060130436</c:v>
                </c:pt>
                <c:pt idx="145">
                  <c:v>63.517392613687619</c:v>
                </c:pt>
                <c:pt idx="146">
                  <c:v>62.029045209033889</c:v>
                </c:pt>
                <c:pt idx="147">
                  <c:v>60.439446300549925</c:v>
                </c:pt>
                <c:pt idx="148">
                  <c:v>58.748376410289694</c:v>
                </c:pt>
                <c:pt idx="149">
                  <c:v>56.955760049784097</c:v>
                </c:pt>
                <c:pt idx="150">
                  <c:v>55.061612005683244</c:v>
                </c:pt>
                <c:pt idx="151">
                  <c:v>53.065997946414122</c:v>
                </c:pt>
                <c:pt idx="152">
                  <c:v>50.969025386886436</c:v>
                </c:pt>
                <c:pt idx="153">
                  <c:v>48.770880103397289</c:v>
                </c:pt>
                <c:pt idx="154">
                  <c:v>46.47191845174796</c:v>
                </c:pt>
                <c:pt idx="155">
                  <c:v>44.072817764127819</c:v>
                </c:pt>
                <c:pt idx="156">
                  <c:v>41.574776098083696</c:v>
                </c:pt>
                <c:pt idx="157">
                  <c:v>38.979740973104882</c:v>
                </c:pt>
                <c:pt idx="158">
                  <c:v>36.290636763033696</c:v>
                </c:pt>
                <c:pt idx="159">
                  <c:v>33.511554497626044</c:v>
                </c:pt>
                <c:pt idx="160">
                  <c:v>30.64786775518553</c:v>
                </c:pt>
                <c:pt idx="161">
                  <c:v>27.706244858937399</c:v>
                </c:pt>
                <c:pt idx="162">
                  <c:v>24.694540223412965</c:v>
                </c:pt>
                <c:pt idx="163">
                  <c:v>21.621564692299248</c:v>
                </c:pt>
                <c:pt idx="164">
                  <c:v>18.496753328721589</c:v>
                </c:pt>
                <c:pt idx="165">
                  <c:v>15.329766081578967</c:v>
                </c:pt>
                <c:pt idx="166">
                  <c:v>12.130068848647864</c:v>
                </c:pt>
                <c:pt idx="167">
                  <c:v>8.9065472419538345</c:v>
                </c:pt>
                <c:pt idx="168">
                  <c:v>5.6672017488732598</c:v>
                </c:pt>
                <c:pt idx="169">
                  <c:v>2.4189615688017807</c:v>
                </c:pt>
                <c:pt idx="170">
                  <c:v>-0.83236264579006047</c:v>
                </c:pt>
                <c:pt idx="171">
                  <c:v>-4.081986411367855</c:v>
                </c:pt>
                <c:pt idx="172">
                  <c:v>-7.3259371921024732</c:v>
                </c:pt>
                <c:pt idx="173">
                  <c:v>-10.56075083983378</c:v>
                </c:pt>
                <c:pt idx="174">
                  <c:v>-13.783120343904368</c:v>
                </c:pt>
                <c:pt idx="175">
                  <c:v>-16.989541590232445</c:v>
                </c:pt>
                <c:pt idx="176">
                  <c:v>-20.175998266623786</c:v>
                </c:pt>
                <c:pt idx="177">
                  <c:v>-23.337720971376346</c:v>
                </c:pt>
                <c:pt idx="178">
                  <c:v>-26.469045323675065</c:v>
                </c:pt>
                <c:pt idx="179">
                  <c:v>-29.563381791495939</c:v>
                </c:pt>
                <c:pt idx="180">
                  <c:v>-32.613297347524743</c:v>
                </c:pt>
                <c:pt idx="181">
                  <c:v>-35.610697199111364</c:v>
                </c:pt>
                <c:pt idx="182">
                  <c:v>-38.547084931226628</c:v>
                </c:pt>
                <c:pt idx="183">
                  <c:v>-41.4138725227591</c:v>
                </c:pt>
                <c:pt idx="184">
                  <c:v>-44.202708587745136</c:v>
                </c:pt>
                <c:pt idx="185">
                  <c:v>-46.905794073263849</c:v>
                </c:pt>
                <c:pt idx="186">
                  <c:v>-49.516159109641748</c:v>
                </c:pt>
                <c:pt idx="187">
                  <c:v>-52.02788178497525</c:v>
                </c:pt>
                <c:pt idx="188">
                  <c:v>-54.436237982138366</c:v>
                </c:pt>
                <c:pt idx="189">
                  <c:v>-56.737779699967618</c:v>
                </c:pt>
                <c:pt idx="190">
                  <c:v>-58.930346345306681</c:v>
                </c:pt>
                <c:pt idx="191">
                  <c:v>-61.013018615230209</c:v>
                </c:pt>
                <c:pt idx="192">
                  <c:v>-62.986027546855148</c:v>
                </c:pt>
                <c:pt idx="193">
                  <c:v>-64.850632254969128</c:v>
                </c:pt>
                <c:pt idx="194">
                  <c:v>-66.608979226413481</c:v>
                </c:pt>
                <c:pt idx="195">
                  <c:v>-68.263954324985406</c:v>
                </c:pt>
                <c:pt idx="196">
                  <c:v>-69.819036395478435</c:v>
                </c:pt>
                <c:pt idx="197">
                  <c:v>-71.27815895985961</c:v>
                </c:pt>
                <c:pt idx="198">
                  <c:v>-72.645584265548038</c:v>
                </c:pt>
                <c:pt idx="199">
                  <c:v>-73.925792044952843</c:v>
                </c:pt>
                <c:pt idx="200">
                  <c:v>-75.12338384581102</c:v>
                </c:pt>
                <c:pt idx="201">
                  <c:v>-76.243002691651981</c:v>
                </c:pt>
                <c:pt idx="202">
                  <c:v>-77.28926708676174</c:v>
                </c:pt>
                <c:pt idx="203">
                  <c:v>-78.266717926546832</c:v>
                </c:pt>
                <c:pt idx="204">
                  <c:v>-79.179776644469555</c:v>
                </c:pt>
                <c:pt idx="205">
                  <c:v>-80.032712858679389</c:v>
                </c:pt>
                <c:pt idx="206">
                  <c:v>-80.829619823388285</c:v>
                </c:pt>
                <c:pt idx="207">
                  <c:v>-81.5743961021427</c:v>
                </c:pt>
                <c:pt idx="208">
                  <c:v>-82.270732034250145</c:v>
                </c:pt>
                <c:pt idx="209">
                  <c:v>-82.922099743767632</c:v>
                </c:pt>
                <c:pt idx="210">
                  <c:v>-83.531745633287386</c:v>
                </c:pt>
              </c:numCache>
            </c:numRef>
          </c:yVal>
          <c:smooth val="1"/>
        </c:ser>
        <c:ser>
          <c:idx val="3"/>
          <c:order val="3"/>
          <c:tx>
            <c:v>Power Stage Phase</c:v>
          </c:tx>
          <c:spPr>
            <a:ln w="25400">
              <a:solidFill>
                <a:srgbClr val="000080"/>
              </a:solidFill>
              <a:prstDash val="sysDash"/>
            </a:ln>
          </c:spPr>
          <c:marker>
            <c:symbol val="none"/>
          </c:marker>
          <c:xVal>
            <c:numRef>
              <c:f>'Small Signal'!$L$2:$L$212</c:f>
              <c:numCache>
                <c:formatCode>General</c:formatCode>
                <c:ptCount val="211"/>
                <c:pt idx="0">
                  <c:v>1</c:v>
                </c:pt>
                <c:pt idx="1">
                  <c:v>1.0797751623277096</c:v>
                </c:pt>
                <c:pt idx="2">
                  <c:v>1.1659144011798317</c:v>
                </c:pt>
                <c:pt idx="3">
                  <c:v>1.2589254117941673</c:v>
                </c:pt>
                <c:pt idx="4">
                  <c:v>1.3593563908785258</c:v>
                </c:pt>
                <c:pt idx="5">
                  <c:v>1.4677992676220697</c:v>
                </c:pt>
                <c:pt idx="6">
                  <c:v>1.5848931924611136</c:v>
                </c:pt>
                <c:pt idx="7">
                  <c:v>1.7113283041617808</c:v>
                </c:pt>
                <c:pt idx="8">
                  <c:v>1.8478497974222912</c:v>
                </c:pt>
                <c:pt idx="9">
                  <c:v>1.9952623149688797</c:v>
                </c:pt>
                <c:pt idx="10">
                  <c:v>2.1544346900318838</c:v>
                </c:pt>
                <c:pt idx="11">
                  <c:v>2.3263050671536263</c:v>
                </c:pt>
                <c:pt idx="12">
                  <c:v>2.5118864315095806</c:v>
                </c:pt>
                <c:pt idx="13">
                  <c:v>2.7122725793320286</c:v>
                </c:pt>
                <c:pt idx="14">
                  <c:v>2.9286445646252366</c:v>
                </c:pt>
                <c:pt idx="15">
                  <c:v>3.1622776601683795</c:v>
                </c:pt>
                <c:pt idx="16">
                  <c:v>3.4145488738336023</c:v>
                </c:pt>
                <c:pt idx="17">
                  <c:v>3.6869450645195756</c:v>
                </c:pt>
                <c:pt idx="18">
                  <c:v>3.9810717055349727</c:v>
                </c:pt>
                <c:pt idx="19">
                  <c:v>4.2986623470822769</c:v>
                </c:pt>
                <c:pt idx="20">
                  <c:v>4.6415888336127793</c:v>
                </c:pt>
                <c:pt idx="21">
                  <c:v>5.0118723362727229</c:v>
                </c:pt>
                <c:pt idx="22">
                  <c:v>5.4116952654646369</c:v>
                </c:pt>
                <c:pt idx="23">
                  <c:v>5.8434141337351777</c:v>
                </c:pt>
                <c:pt idx="24">
                  <c:v>6.3095734448019343</c:v>
                </c:pt>
                <c:pt idx="25">
                  <c:v>6.812920690579614</c:v>
                </c:pt>
                <c:pt idx="26">
                  <c:v>7.3564225445964153</c:v>
                </c:pt>
                <c:pt idx="27">
                  <c:v>7.9432823472428176</c:v>
                </c:pt>
                <c:pt idx="28">
                  <c:v>8.5769589859089415</c:v>
                </c:pt>
                <c:pt idx="29">
                  <c:v>9.2611872812879383</c:v>
                </c:pt>
                <c:pt idx="30">
                  <c:v>10</c:v>
                </c:pt>
                <c:pt idx="31">
                  <c:v>10.797751623277103</c:v>
                </c:pt>
                <c:pt idx="32">
                  <c:v>11.659144011798322</c:v>
                </c:pt>
                <c:pt idx="33">
                  <c:v>12.58925411794168</c:v>
                </c:pt>
                <c:pt idx="34">
                  <c:v>13.593563908785256</c:v>
                </c:pt>
                <c:pt idx="35">
                  <c:v>14.677992676220699</c:v>
                </c:pt>
                <c:pt idx="36">
                  <c:v>15.848931924611136</c:v>
                </c:pt>
                <c:pt idx="37">
                  <c:v>17.113283041617812</c:v>
                </c:pt>
                <c:pt idx="38">
                  <c:v>18.478497974222911</c:v>
                </c:pt>
                <c:pt idx="39">
                  <c:v>19.952623149688804</c:v>
                </c:pt>
                <c:pt idx="40">
                  <c:v>21.544346900318843</c:v>
                </c:pt>
                <c:pt idx="41">
                  <c:v>23.263050671536273</c:v>
                </c:pt>
                <c:pt idx="42">
                  <c:v>25.118864315095799</c:v>
                </c:pt>
                <c:pt idx="43">
                  <c:v>27.122725793320289</c:v>
                </c:pt>
                <c:pt idx="44">
                  <c:v>29.286445646252368</c:v>
                </c:pt>
                <c:pt idx="45">
                  <c:v>31.622776601683803</c:v>
                </c:pt>
                <c:pt idx="46">
                  <c:v>34.145488738336034</c:v>
                </c:pt>
                <c:pt idx="47">
                  <c:v>36.869450645195769</c:v>
                </c:pt>
                <c:pt idx="48">
                  <c:v>39.810717055349755</c:v>
                </c:pt>
                <c:pt idx="49">
                  <c:v>42.986623470822771</c:v>
                </c:pt>
                <c:pt idx="50">
                  <c:v>46.415888336127807</c:v>
                </c:pt>
                <c:pt idx="51">
                  <c:v>50.118723362727238</c:v>
                </c:pt>
                <c:pt idx="52">
                  <c:v>54.11695265464639</c:v>
                </c:pt>
                <c:pt idx="53">
                  <c:v>58.434141337351775</c:v>
                </c:pt>
                <c:pt idx="54">
                  <c:v>63.095734448019364</c:v>
                </c:pt>
                <c:pt idx="55">
                  <c:v>68.129206905796124</c:v>
                </c:pt>
                <c:pt idx="56">
                  <c:v>73.564225445964155</c:v>
                </c:pt>
                <c:pt idx="57">
                  <c:v>79.432823472428197</c:v>
                </c:pt>
                <c:pt idx="58">
                  <c:v>85.769589859089479</c:v>
                </c:pt>
                <c:pt idx="59">
                  <c:v>92.611872812879369</c:v>
                </c:pt>
                <c:pt idx="60">
                  <c:v>100</c:v>
                </c:pt>
                <c:pt idx="61">
                  <c:v>107.97751623277095</c:v>
                </c:pt>
                <c:pt idx="62">
                  <c:v>116.59144011798328</c:v>
                </c:pt>
                <c:pt idx="63">
                  <c:v>125.89254117941677</c:v>
                </c:pt>
                <c:pt idx="64">
                  <c:v>135.93563908785265</c:v>
                </c:pt>
                <c:pt idx="65">
                  <c:v>146.77992676220697</c:v>
                </c:pt>
                <c:pt idx="66">
                  <c:v>158.48931924611153</c:v>
                </c:pt>
                <c:pt idx="67">
                  <c:v>171.13283041617817</c:v>
                </c:pt>
                <c:pt idx="68">
                  <c:v>184.7849797422291</c:v>
                </c:pt>
                <c:pt idx="69">
                  <c:v>199.52623149688802</c:v>
                </c:pt>
                <c:pt idx="70">
                  <c:v>215.44346900318848</c:v>
                </c:pt>
                <c:pt idx="71">
                  <c:v>232.6305067153628</c:v>
                </c:pt>
                <c:pt idx="72">
                  <c:v>251.18864315095806</c:v>
                </c:pt>
                <c:pt idx="73">
                  <c:v>271.22725793320296</c:v>
                </c:pt>
                <c:pt idx="74">
                  <c:v>292.86445646252383</c:v>
                </c:pt>
                <c:pt idx="75">
                  <c:v>316.22776601683825</c:v>
                </c:pt>
                <c:pt idx="76">
                  <c:v>341.4548873833603</c:v>
                </c:pt>
                <c:pt idx="77">
                  <c:v>368.69450645195781</c:v>
                </c:pt>
                <c:pt idx="78">
                  <c:v>398.10717055349761</c:v>
                </c:pt>
                <c:pt idx="79">
                  <c:v>429.86623470822781</c:v>
                </c:pt>
                <c:pt idx="80">
                  <c:v>464.15888336127819</c:v>
                </c:pt>
                <c:pt idx="81">
                  <c:v>501.18723362727269</c:v>
                </c:pt>
                <c:pt idx="82">
                  <c:v>541.16952654646434</c:v>
                </c:pt>
                <c:pt idx="83">
                  <c:v>584.34141337351787</c:v>
                </c:pt>
                <c:pt idx="84">
                  <c:v>630.95734448019323</c:v>
                </c:pt>
                <c:pt idx="85">
                  <c:v>681.29206905796195</c:v>
                </c:pt>
                <c:pt idx="86">
                  <c:v>735.64225445964166</c:v>
                </c:pt>
                <c:pt idx="87">
                  <c:v>794.32823472428208</c:v>
                </c:pt>
                <c:pt idx="88">
                  <c:v>857.69589859089422</c:v>
                </c:pt>
                <c:pt idx="89">
                  <c:v>926.11872812879471</c:v>
                </c:pt>
                <c:pt idx="90">
                  <c:v>1000</c:v>
                </c:pt>
                <c:pt idx="91">
                  <c:v>1079.7751623277097</c:v>
                </c:pt>
                <c:pt idx="92">
                  <c:v>1165.914401179833</c:v>
                </c:pt>
                <c:pt idx="93">
                  <c:v>1258.925411794168</c:v>
                </c:pt>
                <c:pt idx="94">
                  <c:v>1359.3563908785268</c:v>
                </c:pt>
                <c:pt idx="95">
                  <c:v>1467.7992676220699</c:v>
                </c:pt>
                <c:pt idx="96">
                  <c:v>1584.8931924611156</c:v>
                </c:pt>
                <c:pt idx="97">
                  <c:v>1711.3283041617822</c:v>
                </c:pt>
                <c:pt idx="98">
                  <c:v>1847.8497974222912</c:v>
                </c:pt>
                <c:pt idx="99">
                  <c:v>1995.2623149688804</c:v>
                </c:pt>
                <c:pt idx="100">
                  <c:v>2154.4346900318851</c:v>
                </c:pt>
                <c:pt idx="101">
                  <c:v>2326.3050671536284</c:v>
                </c:pt>
                <c:pt idx="102">
                  <c:v>2511.8864315095811</c:v>
                </c:pt>
                <c:pt idx="103">
                  <c:v>2712.2725793320301</c:v>
                </c:pt>
                <c:pt idx="104">
                  <c:v>2928.6445646252391</c:v>
                </c:pt>
                <c:pt idx="105">
                  <c:v>3162.2776601683804</c:v>
                </c:pt>
                <c:pt idx="106">
                  <c:v>3414.5488738336035</c:v>
                </c:pt>
                <c:pt idx="107">
                  <c:v>3686.9450645195784</c:v>
                </c:pt>
                <c:pt idx="108">
                  <c:v>3981.0717055349769</c:v>
                </c:pt>
                <c:pt idx="109">
                  <c:v>4298.6623470822833</c:v>
                </c:pt>
                <c:pt idx="110">
                  <c:v>4641.5888336127782</c:v>
                </c:pt>
                <c:pt idx="111">
                  <c:v>5011.8723362727324</c:v>
                </c:pt>
                <c:pt idx="112">
                  <c:v>5411.6952654646393</c:v>
                </c:pt>
                <c:pt idx="113">
                  <c:v>5843.4141337351803</c:v>
                </c:pt>
                <c:pt idx="114">
                  <c:v>6309.5734448019384</c:v>
                </c:pt>
                <c:pt idx="115">
                  <c:v>6812.9206905796218</c:v>
                </c:pt>
                <c:pt idx="116">
                  <c:v>7356.4225445964248</c:v>
                </c:pt>
                <c:pt idx="117">
                  <c:v>7943.2823472428154</c:v>
                </c:pt>
                <c:pt idx="118">
                  <c:v>8576.9589859089447</c:v>
                </c:pt>
                <c:pt idx="119">
                  <c:v>9261.187281287941</c:v>
                </c:pt>
                <c:pt idx="120">
                  <c:v>10000</c:v>
                </c:pt>
                <c:pt idx="121">
                  <c:v>10797.751623277109</c:v>
                </c:pt>
                <c:pt idx="122">
                  <c:v>11659.144011798313</c:v>
                </c:pt>
                <c:pt idx="123">
                  <c:v>12589.254117941671</c:v>
                </c:pt>
                <c:pt idx="124">
                  <c:v>13593.563908785283</c:v>
                </c:pt>
                <c:pt idx="125">
                  <c:v>14677.992676220729</c:v>
                </c:pt>
                <c:pt idx="126">
                  <c:v>15848.931924611146</c:v>
                </c:pt>
                <c:pt idx="127">
                  <c:v>17113.283041617826</c:v>
                </c:pt>
                <c:pt idx="128">
                  <c:v>18478.497974222933</c:v>
                </c:pt>
                <c:pt idx="129">
                  <c:v>19952.623149688792</c:v>
                </c:pt>
                <c:pt idx="130">
                  <c:v>21544.346900318837</c:v>
                </c:pt>
                <c:pt idx="131">
                  <c:v>23263.050671536268</c:v>
                </c:pt>
                <c:pt idx="132">
                  <c:v>25118.86431509586</c:v>
                </c:pt>
                <c:pt idx="133">
                  <c:v>27122.725793320307</c:v>
                </c:pt>
                <c:pt idx="134">
                  <c:v>29286.445646252399</c:v>
                </c:pt>
                <c:pt idx="135">
                  <c:v>31622.77660168384</c:v>
                </c:pt>
                <c:pt idx="136">
                  <c:v>34145.488738336011</c:v>
                </c:pt>
                <c:pt idx="137">
                  <c:v>36869.450645195764</c:v>
                </c:pt>
                <c:pt idx="138">
                  <c:v>39810.717055349742</c:v>
                </c:pt>
                <c:pt idx="139">
                  <c:v>42986.62347082288</c:v>
                </c:pt>
                <c:pt idx="140">
                  <c:v>46415.888336127835</c:v>
                </c:pt>
                <c:pt idx="141">
                  <c:v>50118.723362727294</c:v>
                </c:pt>
                <c:pt idx="142">
                  <c:v>54116.952654646455</c:v>
                </c:pt>
                <c:pt idx="143">
                  <c:v>58434.141337351764</c:v>
                </c:pt>
                <c:pt idx="144">
                  <c:v>63095.734448019342</c:v>
                </c:pt>
                <c:pt idx="145">
                  <c:v>68129.206905796163</c:v>
                </c:pt>
                <c:pt idx="146">
                  <c:v>73564.225445964199</c:v>
                </c:pt>
                <c:pt idx="147">
                  <c:v>79432.823472428237</c:v>
                </c:pt>
                <c:pt idx="148">
                  <c:v>85769.589859089538</c:v>
                </c:pt>
                <c:pt idx="149">
                  <c:v>92611.872812879505</c:v>
                </c:pt>
                <c:pt idx="150">
                  <c:v>100000</c:v>
                </c:pt>
                <c:pt idx="151">
                  <c:v>107977.51623277101</c:v>
                </c:pt>
                <c:pt idx="152">
                  <c:v>116591.44011798326</c:v>
                </c:pt>
                <c:pt idx="153">
                  <c:v>125892.54117941685</c:v>
                </c:pt>
                <c:pt idx="154">
                  <c:v>135935.63908785273</c:v>
                </c:pt>
                <c:pt idx="155">
                  <c:v>146779.92676220718</c:v>
                </c:pt>
                <c:pt idx="156">
                  <c:v>158489.31924611164</c:v>
                </c:pt>
                <c:pt idx="157">
                  <c:v>171132.83041617845</c:v>
                </c:pt>
                <c:pt idx="158">
                  <c:v>184784.97974222922</c:v>
                </c:pt>
                <c:pt idx="159">
                  <c:v>199526.23149688813</c:v>
                </c:pt>
                <c:pt idx="160">
                  <c:v>215443.46900318863</c:v>
                </c:pt>
                <c:pt idx="161">
                  <c:v>232630.50671536254</c:v>
                </c:pt>
                <c:pt idx="162">
                  <c:v>251188.64315095844</c:v>
                </c:pt>
                <c:pt idx="163">
                  <c:v>271227.25793320336</c:v>
                </c:pt>
                <c:pt idx="164">
                  <c:v>292864.45646252431</c:v>
                </c:pt>
                <c:pt idx="165">
                  <c:v>316227.7660168382</c:v>
                </c:pt>
                <c:pt idx="166">
                  <c:v>341454.88738336053</c:v>
                </c:pt>
                <c:pt idx="167">
                  <c:v>368694.50645195803</c:v>
                </c:pt>
                <c:pt idx="168">
                  <c:v>398107.17055349716</c:v>
                </c:pt>
                <c:pt idx="169">
                  <c:v>429866.2347082285</c:v>
                </c:pt>
                <c:pt idx="170">
                  <c:v>464158.88336127886</c:v>
                </c:pt>
                <c:pt idx="171">
                  <c:v>501187.23362727347</c:v>
                </c:pt>
                <c:pt idx="172">
                  <c:v>541169.52654646419</c:v>
                </c:pt>
                <c:pt idx="173">
                  <c:v>584341.41337351827</c:v>
                </c:pt>
                <c:pt idx="174">
                  <c:v>630957.34448019415</c:v>
                </c:pt>
                <c:pt idx="175">
                  <c:v>681292.06905796123</c:v>
                </c:pt>
                <c:pt idx="176">
                  <c:v>735642.25445964152</c:v>
                </c:pt>
                <c:pt idx="177">
                  <c:v>794328.23472428333</c:v>
                </c:pt>
                <c:pt idx="178">
                  <c:v>857695.89859089628</c:v>
                </c:pt>
                <c:pt idx="179">
                  <c:v>926118.72812879446</c:v>
                </c:pt>
                <c:pt idx="180">
                  <c:v>1000000</c:v>
                </c:pt>
                <c:pt idx="181">
                  <c:v>1079775.1623277115</c:v>
                </c:pt>
                <c:pt idx="182">
                  <c:v>1165914.4011798317</c:v>
                </c:pt>
                <c:pt idx="183">
                  <c:v>1258925.4117941677</c:v>
                </c:pt>
                <c:pt idx="184">
                  <c:v>1359356.3908785288</c:v>
                </c:pt>
                <c:pt idx="185">
                  <c:v>1467799.2676220734</c:v>
                </c:pt>
                <c:pt idx="186">
                  <c:v>1584893.1924611153</c:v>
                </c:pt>
                <c:pt idx="187">
                  <c:v>1711328.3041617833</c:v>
                </c:pt>
                <c:pt idx="188">
                  <c:v>1847849.797422294</c:v>
                </c:pt>
                <c:pt idx="189">
                  <c:v>1995262.31496888</c:v>
                </c:pt>
                <c:pt idx="190">
                  <c:v>2154434.6900318847</c:v>
                </c:pt>
                <c:pt idx="191">
                  <c:v>2326305.067153628</c:v>
                </c:pt>
                <c:pt idx="192">
                  <c:v>2511886.431509587</c:v>
                </c:pt>
                <c:pt idx="193">
                  <c:v>2712272.5793320318</c:v>
                </c:pt>
                <c:pt idx="194">
                  <c:v>2928644.5646252413</c:v>
                </c:pt>
                <c:pt idx="195">
                  <c:v>3162277.6601683851</c:v>
                </c:pt>
                <c:pt idx="196">
                  <c:v>3414548.8738336028</c:v>
                </c:pt>
                <c:pt idx="197">
                  <c:v>3686945.0645195777</c:v>
                </c:pt>
                <c:pt idx="198">
                  <c:v>3981071.705534976</c:v>
                </c:pt>
                <c:pt idx="199">
                  <c:v>4298662.3470822899</c:v>
                </c:pt>
                <c:pt idx="200">
                  <c:v>4641588.8336127857</c:v>
                </c:pt>
                <c:pt idx="201">
                  <c:v>5011872.3362727314</c:v>
                </c:pt>
                <c:pt idx="202">
                  <c:v>5411695.2654646477</c:v>
                </c:pt>
                <c:pt idx="203">
                  <c:v>5843414.133735179</c:v>
                </c:pt>
                <c:pt idx="204">
                  <c:v>6309573.4448019378</c:v>
                </c:pt>
                <c:pt idx="205">
                  <c:v>6812920.6905796202</c:v>
                </c:pt>
                <c:pt idx="206">
                  <c:v>7356422.5445964225</c:v>
                </c:pt>
                <c:pt idx="207">
                  <c:v>7943282.3472428275</c:v>
                </c:pt>
                <c:pt idx="208">
                  <c:v>8576958.9859089572</c:v>
                </c:pt>
                <c:pt idx="209">
                  <c:v>9261187.2812879551</c:v>
                </c:pt>
                <c:pt idx="210">
                  <c:v>10000000</c:v>
                </c:pt>
              </c:numCache>
            </c:numRef>
          </c:xVal>
          <c:yVal>
            <c:numRef>
              <c:f>'Small Signal'!$O$2:$O$212</c:f>
              <c:numCache>
                <c:formatCode>General</c:formatCode>
                <c:ptCount val="211"/>
                <c:pt idx="0">
                  <c:v>-1.3428390705353042E-2</c:v>
                </c:pt>
                <c:pt idx="1">
                  <c:v>-1.4499642713511843E-2</c:v>
                </c:pt>
                <c:pt idx="2">
                  <c:v>-1.5656354014116799E-2</c:v>
                </c:pt>
                <c:pt idx="3">
                  <c:v>-1.6905342133402716E-2</c:v>
                </c:pt>
                <c:pt idx="4">
                  <c:v>-1.8253968466169543E-2</c:v>
                </c:pt>
                <c:pt idx="5">
                  <c:v>-1.9710181662804326E-2</c:v>
                </c:pt>
                <c:pt idx="6">
                  <c:v>-2.1282564477464259E-2</c:v>
                </c:pt>
                <c:pt idx="7">
                  <c:v>-2.2980384353521819E-2</c:v>
                </c:pt>
                <c:pt idx="8">
                  <c:v>-2.4813648044397358E-2</c:v>
                </c:pt>
                <c:pt idx="9">
                  <c:v>-2.6793160591685471E-2</c:v>
                </c:pt>
                <c:pt idx="10">
                  <c:v>-2.8930589008152364E-2</c:v>
                </c:pt>
                <c:pt idx="11">
                  <c:v>-3.1238531040908492E-2</c:v>
                </c:pt>
                <c:pt idx="12">
                  <c:v>-3.3730589419984143E-2</c:v>
                </c:pt>
                <c:pt idx="13">
                  <c:v>-3.6421452029870606E-2</c:v>
                </c:pt>
                <c:pt idx="14">
                  <c:v>-3.9326978476455034E-2</c:v>
                </c:pt>
                <c:pt idx="15">
                  <c:v>-4.2464293559484952E-2</c:v>
                </c:pt>
                <c:pt idx="16">
                  <c:v>-4.5851888201335143E-2</c:v>
                </c:pt>
                <c:pt idx="17">
                  <c:v>-4.9509728426807967E-2</c:v>
                </c:pt>
                <c:pt idx="18">
                  <c:v>-5.3459373036060874E-2</c:v>
                </c:pt>
                <c:pt idx="19">
                  <c:v>-5.7724100663990648E-2</c:v>
                </c:pt>
                <c:pt idx="20">
                  <c:v>-6.2329046974615387E-2</c:v>
                </c:pt>
                <c:pt idx="21">
                  <c:v>-6.7301352798691871E-2</c:v>
                </c:pt>
                <c:pt idx="22">
                  <c:v>-7.2670324087170293E-2</c:v>
                </c:pt>
                <c:pt idx="23">
                  <c:v>-7.8467604622618425E-2</c:v>
                </c:pt>
                <c:pt idx="24">
                  <c:v>-8.4727362505778878E-2</c:v>
                </c:pt>
                <c:pt idx="25">
                  <c:v>-9.1486491515415713E-2</c:v>
                </c:pt>
                <c:pt idx="26">
                  <c:v>-9.8784828526992996E-2</c:v>
                </c:pt>
                <c:pt idx="27">
                  <c:v>-0.10666538827008329</c:v>
                </c:pt>
                <c:pt idx="28">
                  <c:v>-0.11517461680618284</c:v>
                </c:pt>
                <c:pt idx="29">
                  <c:v>-0.12436266521842587</c:v>
                </c:pt>
                <c:pt idx="30">
                  <c:v>-0.13428368512321665</c:v>
                </c:pt>
                <c:pt idx="31">
                  <c:v>-0.1449961477415514</c:v>
                </c:pt>
                <c:pt idx="32">
                  <c:v>-0.15656318840572014</c:v>
                </c:pt>
                <c:pt idx="33">
                  <c:v>-0.16905297852564785</c:v>
                </c:pt>
                <c:pt idx="34">
                  <c:v>-0.18253912719943041</c:v>
                </c:pt>
                <c:pt idx="35">
                  <c:v>-0.19710111482530454</c:v>
                </c:pt>
                <c:pt idx="36">
                  <c:v>-0.21282476125833077</c:v>
                </c:pt>
                <c:pt idx="37">
                  <c:v>-0.22980273125553125</c:v>
                </c:pt>
                <c:pt idx="38">
                  <c:v>-0.24813508016894015</c:v>
                </c:pt>
                <c:pt idx="39">
                  <c:v>-0.26792984307815831</c:v>
                </c:pt>
                <c:pt idx="40">
                  <c:v>-0.28930367080367941</c:v>
                </c:pt>
                <c:pt idx="41">
                  <c:v>-0.312382516510542</c:v>
                </c:pt>
                <c:pt idx="42">
                  <c:v>-0.33730237689985654</c:v>
                </c:pt>
                <c:pt idx="43">
                  <c:v>-0.36421009229487461</c:v>
                </c:pt>
                <c:pt idx="44">
                  <c:v>-0.39326421025929836</c:v>
                </c:pt>
                <c:pt idx="45">
                  <c:v>-0.42463591773977888</c:v>
                </c:pt>
                <c:pt idx="46">
                  <c:v>-0.45851004710314658</c:v>
                </c:pt>
                <c:pt idx="47">
                  <c:v>-0.49508616184243526</c:v>
                </c:pt>
                <c:pt idx="48">
                  <c:v>-0.53457972815515331</c:v>
                </c:pt>
                <c:pt idx="49">
                  <c:v>-0.5772233790526915</c:v>
                </c:pt>
                <c:pt idx="50">
                  <c:v>-0.62326827814157115</c:v>
                </c:pt>
                <c:pt idx="51">
                  <c:v>-0.67298559072448483</c:v>
                </c:pt>
                <c:pt idx="52">
                  <c:v>-0.72666807040076142</c:v>
                </c:pt>
                <c:pt idx="53">
                  <c:v>-0.78463176989978001</c:v>
                </c:pt>
                <c:pt idx="54">
                  <c:v>-0.84721788545344545</c:v>
                </c:pt>
                <c:pt idx="55">
                  <c:v>-0.91479474460008492</c:v>
                </c:pt>
                <c:pt idx="56">
                  <c:v>-0.98775994790485677</c:v>
                </c:pt>
                <c:pt idx="57">
                  <c:v>-1.0665426756712986</c:v>
                </c:pt>
                <c:pt idx="58">
                  <c:v>-1.1516061712917025</c:v>
                </c:pt>
                <c:pt idx="59">
                  <c:v>-1.2434504134225723</c:v>
                </c:pt>
                <c:pt idx="60">
                  <c:v>-1.3426149896535335</c:v>
                </c:pt>
                <c:pt idx="61">
                  <c:v>-1.4496821847320955</c:v>
                </c:pt>
                <c:pt idx="62">
                  <c:v>-1.5652802966748371</c:v>
                </c:pt>
                <c:pt idx="63">
                  <c:v>-1.6900871941876607</c:v>
                </c:pt>
                <c:pt idx="64">
                  <c:v>-1.8248341286691296</c:v>
                </c:pt>
                <c:pt idx="65">
                  <c:v>-1.9703098136010515</c:v>
                </c:pt>
                <c:pt idx="66">
                  <c:v>-2.1273647832355631</c:v>
                </c:pt>
                <c:pt idx="67">
                  <c:v>-2.2969160410384215</c:v>
                </c:pt>
                <c:pt idx="68">
                  <c:v>-2.4799520061794862</c:v>
                </c:pt>
                <c:pt idx="69">
                  <c:v>-2.6775377632697568</c:v>
                </c:pt>
                <c:pt idx="70">
                  <c:v>-2.8908206162730448</c:v>
                </c:pt>
                <c:pt idx="71">
                  <c:v>-3.1210359417529534</c:v>
                </c:pt>
                <c:pt idx="72">
                  <c:v>-3.3695133289593771</c:v>
                </c:pt>
                <c:pt idx="73">
                  <c:v>-3.6376829842323093</c:v>
                </c:pt>
                <c:pt idx="74">
                  <c:v>-3.9270823642124482</c:v>
                </c:pt>
                <c:pt idx="75">
                  <c:v>-4.2393629856897777</c:v>
                </c:pt>
                <c:pt idx="76">
                  <c:v>-4.5762973387255057</c:v>
                </c:pt>
                <c:pt idx="77">
                  <c:v>-4.9397858029376778</c:v>
                </c:pt>
                <c:pt idx="78">
                  <c:v>-5.3318634333387269</c:v>
                </c:pt>
                <c:pt idx="79">
                  <c:v>-5.7547064404799428</c:v>
                </c:pt>
                <c:pt idx="80">
                  <c:v>-6.2106381383197959</c:v>
                </c:pt>
                <c:pt idx="81">
                  <c:v>-6.7021340704954806</c:v>
                </c:pt>
                <c:pt idx="82">
                  <c:v>-7.2318259497376332</c:v>
                </c:pt>
                <c:pt idx="83">
                  <c:v>-7.8025039542862054</c:v>
                </c:pt>
                <c:pt idx="84">
                  <c:v>-8.4171168178434783</c:v>
                </c:pt>
                <c:pt idx="85">
                  <c:v>-9.0787690248993993</c:v>
                </c:pt>
                <c:pt idx="86">
                  <c:v>-9.7907142813042025</c:v>
                </c:pt>
                <c:pt idx="87">
                  <c:v>-10.556344272569016</c:v>
                </c:pt>
                <c:pt idx="88">
                  <c:v>-11.379171554045442</c:v>
                </c:pt>
                <c:pt idx="89">
                  <c:v>-12.262805246225799</c:v>
                </c:pt>
                <c:pt idx="90">
                  <c:v>-13.210918048698632</c:v>
                </c:pt>
                <c:pt idx="91">
                  <c:v>-14.227202958741806</c:v>
                </c:pt>
                <c:pt idx="92">
                  <c:v>-15.315318015146564</c:v>
                </c:pt>
                <c:pt idx="93">
                  <c:v>-16.478817425331009</c:v>
                </c:pt>
                <c:pt idx="94">
                  <c:v>-17.721067626257298</c:v>
                </c:pt>
                <c:pt idx="95">
                  <c:v>-19.045147239750971</c:v>
                </c:pt>
                <c:pt idx="96">
                  <c:v>-20.453730579623524</c:v>
                </c:pt>
                <c:pt idx="97">
                  <c:v>-21.94895541856414</c:v>
                </c:pt>
                <c:pt idx="98">
                  <c:v>-23.532277177374258</c:v>
                </c:pt>
                <c:pt idx="99">
                  <c:v>-25.204313569956174</c:v>
                </c:pt>
                <c:pt idx="100">
                  <c:v>-26.964685970947954</c:v>
                </c:pt>
                <c:pt idx="101">
                  <c:v>-28.811866220258196</c:v>
                </c:pt>
                <c:pt idx="102">
                  <c:v>-30.743039971878204</c:v>
                </c:pt>
                <c:pt idx="103">
                  <c:v>-32.753999640226205</c:v>
                </c:pt>
                <c:pt idx="104">
                  <c:v>-34.839081004533618</c:v>
                </c:pt>
                <c:pt idx="105">
                  <c:v>-36.991157082814084</c:v>
                </c:pt>
                <c:pt idx="106">
                  <c:v>-39.201700556106957</c:v>
                </c:pt>
                <c:pt idx="107">
                  <c:v>-41.460921626195208</c:v>
                </c:pt>
                <c:pt idx="108">
                  <c:v>-43.757981920653961</c:v>
                </c:pt>
                <c:pt idx="109">
                  <c:v>-46.081277566438423</c:v>
                </c:pt>
                <c:pt idx="110">
                  <c:v>-48.418776895325834</c:v>
                </c:pt>
                <c:pt idx="111">
                  <c:v>-50.758391704932372</c:v>
                </c:pt>
                <c:pt idx="112">
                  <c:v>-53.088356793399775</c:v>
                </c:pt>
                <c:pt idx="113">
                  <c:v>-55.397591443512098</c:v>
                </c:pt>
                <c:pt idx="114">
                  <c:v>-57.676018862637207</c:v>
                </c:pt>
                <c:pt idx="115">
                  <c:v>-59.914824817544741</c:v>
                </c:pt>
                <c:pt idx="116">
                  <c:v>-62.106643821761068</c:v>
                </c:pt>
                <c:pt idx="117">
                  <c:v>-64.245668955657933</c:v>
                </c:pt>
                <c:pt idx="118">
                  <c:v>-66.327688499477048</c:v>
                </c:pt>
                <c:pt idx="119">
                  <c:v>-68.350058123734328</c:v>
                </c:pt>
                <c:pt idx="120">
                  <c:v>-70.311620939977942</c:v>
                </c:pt>
                <c:pt idx="121">
                  <c:v>-72.21258923367607</c:v>
                </c:pt>
                <c:pt idx="122">
                  <c:v>-74.054401475903973</c:v>
                </c:pt>
                <c:pt idx="123">
                  <c:v>-75.839566718043855</c:v>
                </c:pt>
                <c:pt idx="124">
                  <c:v>-77.571506231304255</c:v>
                </c:pt>
                <c:pt idx="125">
                  <c:v>-79.254399717497833</c:v>
                </c:pt>
                <c:pt idx="126">
                  <c:v>-80.893040932921849</c:v>
                </c:pt>
                <c:pt idx="127">
                  <c:v>-82.492705351586835</c:v>
                </c:pt>
                <c:pt idx="128">
                  <c:v>-84.059030655321621</c:v>
                </c:pt>
                <c:pt idx="129">
                  <c:v>-85.597909401795093</c:v>
                </c:pt>
                <c:pt idx="130">
                  <c:v>-87.115392160423582</c:v>
                </c:pt>
                <c:pt idx="131">
                  <c:v>-88.61759866800729</c:v>
                </c:pt>
                <c:pt idx="132">
                  <c:v>-90.110634082670089</c:v>
                </c:pt>
                <c:pt idx="133">
                  <c:v>-91.600507156486742</c:v>
                </c:pt>
                <c:pt idx="134">
                  <c:v>-93.093047070895679</c:v>
                </c:pt>
                <c:pt idx="135">
                  <c:v>-94.593815772666318</c:v>
                </c:pt>
                <c:pt idx="136">
                  <c:v>-96.108012922468461</c:v>
                </c:pt>
                <c:pt idx="137">
                  <c:v>-97.640371055207311</c:v>
                </c:pt>
                <c:pt idx="138">
                  <c:v>-99.195039301048993</c:v>
                </c:pt>
                <c:pt idx="139">
                  <c:v>-100.77545508800083</c:v>
                </c:pt>
                <c:pt idx="140">
                  <c:v>-102.38420469736562</c:v>
                </c:pt>
                <c:pt idx="141">
                  <c:v>-104.02287540620284</c:v>
                </c:pt>
                <c:pt idx="142">
                  <c:v>-105.69190421159369</c:v>
                </c:pt>
                <c:pt idx="143">
                  <c:v>-107.39043069698926</c:v>
                </c:pt>
                <c:pt idx="144">
                  <c:v>-109.1161642703653</c:v>
                </c:pt>
                <c:pt idx="145">
                  <c:v>-110.86527845052125</c:v>
                </c:pt>
                <c:pt idx="146">
                  <c:v>-112.63234665545816</c:v>
                </c:pt>
                <c:pt idx="147">
                  <c:v>-114.41033453528931</c:v>
                </c:pt>
                <c:pt idx="148">
                  <c:v>-116.19066279055502</c:v>
                </c:pt>
                <c:pt idx="149">
                  <c:v>-117.96335127757386</c:v>
                </c:pt>
                <c:pt idx="150">
                  <c:v>-119.71724997974565</c:v>
                </c:pt>
                <c:pt idx="151">
                  <c:v>-121.44035548783353</c:v>
                </c:pt>
                <c:pt idx="152">
                  <c:v>-123.12020379210276</c:v>
                </c:pt>
                <c:pt idx="153">
                  <c:v>-124.74432258273427</c:v>
                </c:pt>
                <c:pt idx="154">
                  <c:v>-126.30072010828239</c:v>
                </c:pt>
                <c:pt idx="155">
                  <c:v>-127.77838395689535</c:v>
                </c:pt>
                <c:pt idx="156">
                  <c:v>-129.16776239733292</c:v>
                </c:pt>
                <c:pt idx="157">
                  <c:v>-130.46120299280344</c:v>
                </c:pt>
                <c:pt idx="158">
                  <c:v>-131.65332733398978</c:v>
                </c:pt>
                <c:pt idx="159">
                  <c:v>-132.74132583196607</c:v>
                </c:pt>
                <c:pt idx="160">
                  <c:v>-133.72516146373033</c:v>
                </c:pt>
                <c:pt idx="161">
                  <c:v>-134.60767538676615</c:v>
                </c:pt>
                <c:pt idx="162">
                  <c:v>-135.39459016734537</c:v>
                </c:pt>
                <c:pt idx="163">
                  <c:v>-136.09440827783334</c:v>
                </c:pt>
                <c:pt idx="164">
                  <c:v>-136.71820518824327</c:v>
                </c:pt>
                <c:pt idx="165">
                  <c:v>-137.27931862059583</c:v>
                </c:pt>
                <c:pt idx="166">
                  <c:v>-137.79293900118162</c:v>
                </c:pt>
                <c:pt idx="167">
                  <c:v>-138.27561106947635</c:v>
                </c:pt>
                <c:pt idx="168">
                  <c:v>-138.74466267490314</c:v>
                </c:pt>
                <c:pt idx="169">
                  <c:v>-139.21758320652393</c:v>
                </c:pt>
                <c:pt idx="170">
                  <c:v>-139.71137975822276</c:v>
                </c:pt>
                <c:pt idx="171">
                  <c:v>-140.24194295451275</c:v>
                </c:pt>
                <c:pt idx="172">
                  <c:v>-140.82345559424257</c:v>
                </c:pt>
                <c:pt idx="173">
                  <c:v>-141.4678756654173</c:v>
                </c:pt>
                <c:pt idx="174">
                  <c:v>-142.18452111214</c:v>
                </c:pt>
                <c:pt idx="175">
                  <c:v>-142.97977761083914</c:v>
                </c:pt>
                <c:pt idx="176">
                  <c:v>-143.8569432549663</c:v>
                </c:pt>
                <c:pt idx="177">
                  <c:v>-144.81621606161809</c:v>
                </c:pt>
                <c:pt idx="178">
                  <c:v>-145.85482201112777</c:v>
                </c:pt>
                <c:pt idx="179">
                  <c:v>-146.96727319115473</c:v>
                </c:pt>
                <c:pt idx="180">
                  <c:v>-148.14573784532865</c:v>
                </c:pt>
                <c:pt idx="181">
                  <c:v>-149.38049719966367</c:v>
                </c:pt>
                <c:pt idx="182">
                  <c:v>-150.66045854290257</c:v>
                </c:pt>
                <c:pt idx="183">
                  <c:v>-151.97369094737266</c:v>
                </c:pt>
                <c:pt idx="184">
                  <c:v>-153.30794987153314</c:v>
                </c:pt>
                <c:pt idx="185">
                  <c:v>-154.65115992732632</c:v>
                </c:pt>
                <c:pt idx="186">
                  <c:v>-155.99183101849485</c:v>
                </c:pt>
                <c:pt idx="187">
                  <c:v>-157.31939102031942</c:v>
                </c:pt>
                <c:pt idx="188">
                  <c:v>-158.62442698960996</c:v>
                </c:pt>
                <c:pt idx="189">
                  <c:v>-159.89883531676591</c:v>
                </c:pt>
                <c:pt idx="190">
                  <c:v>-161.13588822591021</c:v>
                </c:pt>
                <c:pt idx="191">
                  <c:v>-162.33022896093544</c:v>
                </c:pt>
                <c:pt idx="192">
                  <c:v>-163.47781068203693</c:v>
                </c:pt>
                <c:pt idx="193">
                  <c:v>-164.57579474002497</c:v>
                </c:pt>
                <c:pt idx="194">
                  <c:v>-165.62242304335192</c:v>
                </c:pt>
                <c:pt idx="195">
                  <c:v>-166.6168772327382</c:v>
                </c:pt>
                <c:pt idx="196">
                  <c:v>-167.55913485401069</c:v>
                </c:pt>
                <c:pt idx="197">
                  <c:v>-168.44983009504153</c:v>
                </c:pt>
                <c:pt idx="198">
                  <c:v>-169.29012422140676</c:v>
                </c:pt>
                <c:pt idx="199">
                  <c:v>-170.08158877592226</c:v>
                </c:pt>
                <c:pt idx="200">
                  <c:v>-170.82610296607459</c:v>
                </c:pt>
                <c:pt idx="201">
                  <c:v>-171.52576544572284</c:v>
                </c:pt>
                <c:pt idx="202">
                  <c:v>-172.18281985601197</c:v>
                </c:pt>
                <c:pt idx="203">
                  <c:v>-172.79959295834769</c:v>
                </c:pt>
                <c:pt idx="204">
                  <c:v>-173.37844389899396</c:v>
                </c:pt>
                <c:pt idx="205">
                  <c:v>-173.92172302576333</c:v>
                </c:pt>
                <c:pt idx="206">
                  <c:v>-174.43173867849185</c:v>
                </c:pt>
                <c:pt idx="207">
                  <c:v>-174.91073045485214</c:v>
                </c:pt>
                <c:pt idx="208">
                  <c:v>-175.36084758179135</c:v>
                </c:pt>
                <c:pt idx="209">
                  <c:v>-175.78413118122501</c:v>
                </c:pt>
                <c:pt idx="210">
                  <c:v>-176.1824993961057</c:v>
                </c:pt>
              </c:numCache>
            </c:numRef>
          </c:yVal>
          <c:smooth val="1"/>
        </c:ser>
        <c:ser>
          <c:idx val="4"/>
          <c:order val="5"/>
          <c:tx>
            <c:v>Compensation Phase</c:v>
          </c:tx>
          <c:spPr>
            <a:ln w="25400">
              <a:solidFill>
                <a:srgbClr val="FF0000"/>
              </a:solidFill>
              <a:prstDash val="sysDash"/>
            </a:ln>
          </c:spPr>
          <c:marker>
            <c:symbol val="none"/>
          </c:marker>
          <c:xVal>
            <c:numRef>
              <c:f>'Small Signal'!$L$2:$L$212</c:f>
              <c:numCache>
                <c:formatCode>General</c:formatCode>
                <c:ptCount val="211"/>
                <c:pt idx="0">
                  <c:v>1</c:v>
                </c:pt>
                <c:pt idx="1">
                  <c:v>1.0797751623277096</c:v>
                </c:pt>
                <c:pt idx="2">
                  <c:v>1.1659144011798317</c:v>
                </c:pt>
                <c:pt idx="3">
                  <c:v>1.2589254117941673</c:v>
                </c:pt>
                <c:pt idx="4">
                  <c:v>1.3593563908785258</c:v>
                </c:pt>
                <c:pt idx="5">
                  <c:v>1.4677992676220697</c:v>
                </c:pt>
                <c:pt idx="6">
                  <c:v>1.5848931924611136</c:v>
                </c:pt>
                <c:pt idx="7">
                  <c:v>1.7113283041617808</c:v>
                </c:pt>
                <c:pt idx="8">
                  <c:v>1.8478497974222912</c:v>
                </c:pt>
                <c:pt idx="9">
                  <c:v>1.9952623149688797</c:v>
                </c:pt>
                <c:pt idx="10">
                  <c:v>2.1544346900318838</c:v>
                </c:pt>
                <c:pt idx="11">
                  <c:v>2.3263050671536263</c:v>
                </c:pt>
                <c:pt idx="12">
                  <c:v>2.5118864315095806</c:v>
                </c:pt>
                <c:pt idx="13">
                  <c:v>2.7122725793320286</c:v>
                </c:pt>
                <c:pt idx="14">
                  <c:v>2.9286445646252366</c:v>
                </c:pt>
                <c:pt idx="15">
                  <c:v>3.1622776601683795</c:v>
                </c:pt>
                <c:pt idx="16">
                  <c:v>3.4145488738336023</c:v>
                </c:pt>
                <c:pt idx="17">
                  <c:v>3.6869450645195756</c:v>
                </c:pt>
                <c:pt idx="18">
                  <c:v>3.9810717055349727</c:v>
                </c:pt>
                <c:pt idx="19">
                  <c:v>4.2986623470822769</c:v>
                </c:pt>
                <c:pt idx="20">
                  <c:v>4.6415888336127793</c:v>
                </c:pt>
                <c:pt idx="21">
                  <c:v>5.0118723362727229</c:v>
                </c:pt>
                <c:pt idx="22">
                  <c:v>5.4116952654646369</c:v>
                </c:pt>
                <c:pt idx="23">
                  <c:v>5.8434141337351777</c:v>
                </c:pt>
                <c:pt idx="24">
                  <c:v>6.3095734448019343</c:v>
                </c:pt>
                <c:pt idx="25">
                  <c:v>6.812920690579614</c:v>
                </c:pt>
                <c:pt idx="26">
                  <c:v>7.3564225445964153</c:v>
                </c:pt>
                <c:pt idx="27">
                  <c:v>7.9432823472428176</c:v>
                </c:pt>
                <c:pt idx="28">
                  <c:v>8.5769589859089415</c:v>
                </c:pt>
                <c:pt idx="29">
                  <c:v>9.2611872812879383</c:v>
                </c:pt>
                <c:pt idx="30">
                  <c:v>10</c:v>
                </c:pt>
                <c:pt idx="31">
                  <c:v>10.797751623277103</c:v>
                </c:pt>
                <c:pt idx="32">
                  <c:v>11.659144011798322</c:v>
                </c:pt>
                <c:pt idx="33">
                  <c:v>12.58925411794168</c:v>
                </c:pt>
                <c:pt idx="34">
                  <c:v>13.593563908785256</c:v>
                </c:pt>
                <c:pt idx="35">
                  <c:v>14.677992676220699</c:v>
                </c:pt>
                <c:pt idx="36">
                  <c:v>15.848931924611136</c:v>
                </c:pt>
                <c:pt idx="37">
                  <c:v>17.113283041617812</c:v>
                </c:pt>
                <c:pt idx="38">
                  <c:v>18.478497974222911</c:v>
                </c:pt>
                <c:pt idx="39">
                  <c:v>19.952623149688804</c:v>
                </c:pt>
                <c:pt idx="40">
                  <c:v>21.544346900318843</c:v>
                </c:pt>
                <c:pt idx="41">
                  <c:v>23.263050671536273</c:v>
                </c:pt>
                <c:pt idx="42">
                  <c:v>25.118864315095799</c:v>
                </c:pt>
                <c:pt idx="43">
                  <c:v>27.122725793320289</c:v>
                </c:pt>
                <c:pt idx="44">
                  <c:v>29.286445646252368</c:v>
                </c:pt>
                <c:pt idx="45">
                  <c:v>31.622776601683803</c:v>
                </c:pt>
                <c:pt idx="46">
                  <c:v>34.145488738336034</c:v>
                </c:pt>
                <c:pt idx="47">
                  <c:v>36.869450645195769</c:v>
                </c:pt>
                <c:pt idx="48">
                  <c:v>39.810717055349755</c:v>
                </c:pt>
                <c:pt idx="49">
                  <c:v>42.986623470822771</c:v>
                </c:pt>
                <c:pt idx="50">
                  <c:v>46.415888336127807</c:v>
                </c:pt>
                <c:pt idx="51">
                  <c:v>50.118723362727238</c:v>
                </c:pt>
                <c:pt idx="52">
                  <c:v>54.11695265464639</c:v>
                </c:pt>
                <c:pt idx="53">
                  <c:v>58.434141337351775</c:v>
                </c:pt>
                <c:pt idx="54">
                  <c:v>63.095734448019364</c:v>
                </c:pt>
                <c:pt idx="55">
                  <c:v>68.129206905796124</c:v>
                </c:pt>
                <c:pt idx="56">
                  <c:v>73.564225445964155</c:v>
                </c:pt>
                <c:pt idx="57">
                  <c:v>79.432823472428197</c:v>
                </c:pt>
                <c:pt idx="58">
                  <c:v>85.769589859089479</c:v>
                </c:pt>
                <c:pt idx="59">
                  <c:v>92.611872812879369</c:v>
                </c:pt>
                <c:pt idx="60">
                  <c:v>100</c:v>
                </c:pt>
                <c:pt idx="61">
                  <c:v>107.97751623277095</c:v>
                </c:pt>
                <c:pt idx="62">
                  <c:v>116.59144011798328</c:v>
                </c:pt>
                <c:pt idx="63">
                  <c:v>125.89254117941677</c:v>
                </c:pt>
                <c:pt idx="64">
                  <c:v>135.93563908785265</c:v>
                </c:pt>
                <c:pt idx="65">
                  <c:v>146.77992676220697</c:v>
                </c:pt>
                <c:pt idx="66">
                  <c:v>158.48931924611153</c:v>
                </c:pt>
                <c:pt idx="67">
                  <c:v>171.13283041617817</c:v>
                </c:pt>
                <c:pt idx="68">
                  <c:v>184.7849797422291</c:v>
                </c:pt>
                <c:pt idx="69">
                  <c:v>199.52623149688802</c:v>
                </c:pt>
                <c:pt idx="70">
                  <c:v>215.44346900318848</c:v>
                </c:pt>
                <c:pt idx="71">
                  <c:v>232.6305067153628</c:v>
                </c:pt>
                <c:pt idx="72">
                  <c:v>251.18864315095806</c:v>
                </c:pt>
                <c:pt idx="73">
                  <c:v>271.22725793320296</c:v>
                </c:pt>
                <c:pt idx="74">
                  <c:v>292.86445646252383</c:v>
                </c:pt>
                <c:pt idx="75">
                  <c:v>316.22776601683825</c:v>
                </c:pt>
                <c:pt idx="76">
                  <c:v>341.4548873833603</c:v>
                </c:pt>
                <c:pt idx="77">
                  <c:v>368.69450645195781</c:v>
                </c:pt>
                <c:pt idx="78">
                  <c:v>398.10717055349761</c:v>
                </c:pt>
                <c:pt idx="79">
                  <c:v>429.86623470822781</c:v>
                </c:pt>
                <c:pt idx="80">
                  <c:v>464.15888336127819</c:v>
                </c:pt>
                <c:pt idx="81">
                  <c:v>501.18723362727269</c:v>
                </c:pt>
                <c:pt idx="82">
                  <c:v>541.16952654646434</c:v>
                </c:pt>
                <c:pt idx="83">
                  <c:v>584.34141337351787</c:v>
                </c:pt>
                <c:pt idx="84">
                  <c:v>630.95734448019323</c:v>
                </c:pt>
                <c:pt idx="85">
                  <c:v>681.29206905796195</c:v>
                </c:pt>
                <c:pt idx="86">
                  <c:v>735.64225445964166</c:v>
                </c:pt>
                <c:pt idx="87">
                  <c:v>794.32823472428208</c:v>
                </c:pt>
                <c:pt idx="88">
                  <c:v>857.69589859089422</c:v>
                </c:pt>
                <c:pt idx="89">
                  <c:v>926.11872812879471</c:v>
                </c:pt>
                <c:pt idx="90">
                  <c:v>1000</c:v>
                </c:pt>
                <c:pt idx="91">
                  <c:v>1079.7751623277097</c:v>
                </c:pt>
                <c:pt idx="92">
                  <c:v>1165.914401179833</c:v>
                </c:pt>
                <c:pt idx="93">
                  <c:v>1258.925411794168</c:v>
                </c:pt>
                <c:pt idx="94">
                  <c:v>1359.3563908785268</c:v>
                </c:pt>
                <c:pt idx="95">
                  <c:v>1467.7992676220699</c:v>
                </c:pt>
                <c:pt idx="96">
                  <c:v>1584.8931924611156</c:v>
                </c:pt>
                <c:pt idx="97">
                  <c:v>1711.3283041617822</c:v>
                </c:pt>
                <c:pt idx="98">
                  <c:v>1847.8497974222912</c:v>
                </c:pt>
                <c:pt idx="99">
                  <c:v>1995.2623149688804</c:v>
                </c:pt>
                <c:pt idx="100">
                  <c:v>2154.4346900318851</c:v>
                </c:pt>
                <c:pt idx="101">
                  <c:v>2326.3050671536284</c:v>
                </c:pt>
                <c:pt idx="102">
                  <c:v>2511.8864315095811</c:v>
                </c:pt>
                <c:pt idx="103">
                  <c:v>2712.2725793320301</c:v>
                </c:pt>
                <c:pt idx="104">
                  <c:v>2928.6445646252391</c:v>
                </c:pt>
                <c:pt idx="105">
                  <c:v>3162.2776601683804</c:v>
                </c:pt>
                <c:pt idx="106">
                  <c:v>3414.5488738336035</c:v>
                </c:pt>
                <c:pt idx="107">
                  <c:v>3686.9450645195784</c:v>
                </c:pt>
                <c:pt idx="108">
                  <c:v>3981.0717055349769</c:v>
                </c:pt>
                <c:pt idx="109">
                  <c:v>4298.6623470822833</c:v>
                </c:pt>
                <c:pt idx="110">
                  <c:v>4641.5888336127782</c:v>
                </c:pt>
                <c:pt idx="111">
                  <c:v>5011.8723362727324</c:v>
                </c:pt>
                <c:pt idx="112">
                  <c:v>5411.6952654646393</c:v>
                </c:pt>
                <c:pt idx="113">
                  <c:v>5843.4141337351803</c:v>
                </c:pt>
                <c:pt idx="114">
                  <c:v>6309.5734448019384</c:v>
                </c:pt>
                <c:pt idx="115">
                  <c:v>6812.9206905796218</c:v>
                </c:pt>
                <c:pt idx="116">
                  <c:v>7356.4225445964248</c:v>
                </c:pt>
                <c:pt idx="117">
                  <c:v>7943.2823472428154</c:v>
                </c:pt>
                <c:pt idx="118">
                  <c:v>8576.9589859089447</c:v>
                </c:pt>
                <c:pt idx="119">
                  <c:v>9261.187281287941</c:v>
                </c:pt>
                <c:pt idx="120">
                  <c:v>10000</c:v>
                </c:pt>
                <c:pt idx="121">
                  <c:v>10797.751623277109</c:v>
                </c:pt>
                <c:pt idx="122">
                  <c:v>11659.144011798313</c:v>
                </c:pt>
                <c:pt idx="123">
                  <c:v>12589.254117941671</c:v>
                </c:pt>
                <c:pt idx="124">
                  <c:v>13593.563908785283</c:v>
                </c:pt>
                <c:pt idx="125">
                  <c:v>14677.992676220729</c:v>
                </c:pt>
                <c:pt idx="126">
                  <c:v>15848.931924611146</c:v>
                </c:pt>
                <c:pt idx="127">
                  <c:v>17113.283041617826</c:v>
                </c:pt>
                <c:pt idx="128">
                  <c:v>18478.497974222933</c:v>
                </c:pt>
                <c:pt idx="129">
                  <c:v>19952.623149688792</c:v>
                </c:pt>
                <c:pt idx="130">
                  <c:v>21544.346900318837</c:v>
                </c:pt>
                <c:pt idx="131">
                  <c:v>23263.050671536268</c:v>
                </c:pt>
                <c:pt idx="132">
                  <c:v>25118.86431509586</c:v>
                </c:pt>
                <c:pt idx="133">
                  <c:v>27122.725793320307</c:v>
                </c:pt>
                <c:pt idx="134">
                  <c:v>29286.445646252399</c:v>
                </c:pt>
                <c:pt idx="135">
                  <c:v>31622.77660168384</c:v>
                </c:pt>
                <c:pt idx="136">
                  <c:v>34145.488738336011</c:v>
                </c:pt>
                <c:pt idx="137">
                  <c:v>36869.450645195764</c:v>
                </c:pt>
                <c:pt idx="138">
                  <c:v>39810.717055349742</c:v>
                </c:pt>
                <c:pt idx="139">
                  <c:v>42986.62347082288</c:v>
                </c:pt>
                <c:pt idx="140">
                  <c:v>46415.888336127835</c:v>
                </c:pt>
                <c:pt idx="141">
                  <c:v>50118.723362727294</c:v>
                </c:pt>
                <c:pt idx="142">
                  <c:v>54116.952654646455</c:v>
                </c:pt>
                <c:pt idx="143">
                  <c:v>58434.141337351764</c:v>
                </c:pt>
                <c:pt idx="144">
                  <c:v>63095.734448019342</c:v>
                </c:pt>
                <c:pt idx="145">
                  <c:v>68129.206905796163</c:v>
                </c:pt>
                <c:pt idx="146">
                  <c:v>73564.225445964199</c:v>
                </c:pt>
                <c:pt idx="147">
                  <c:v>79432.823472428237</c:v>
                </c:pt>
                <c:pt idx="148">
                  <c:v>85769.589859089538</c:v>
                </c:pt>
                <c:pt idx="149">
                  <c:v>92611.872812879505</c:v>
                </c:pt>
                <c:pt idx="150">
                  <c:v>100000</c:v>
                </c:pt>
                <c:pt idx="151">
                  <c:v>107977.51623277101</c:v>
                </c:pt>
                <c:pt idx="152">
                  <c:v>116591.44011798326</c:v>
                </c:pt>
                <c:pt idx="153">
                  <c:v>125892.54117941685</c:v>
                </c:pt>
                <c:pt idx="154">
                  <c:v>135935.63908785273</c:v>
                </c:pt>
                <c:pt idx="155">
                  <c:v>146779.92676220718</c:v>
                </c:pt>
                <c:pt idx="156">
                  <c:v>158489.31924611164</c:v>
                </c:pt>
                <c:pt idx="157">
                  <c:v>171132.83041617845</c:v>
                </c:pt>
                <c:pt idx="158">
                  <c:v>184784.97974222922</c:v>
                </c:pt>
                <c:pt idx="159">
                  <c:v>199526.23149688813</c:v>
                </c:pt>
                <c:pt idx="160">
                  <c:v>215443.46900318863</c:v>
                </c:pt>
                <c:pt idx="161">
                  <c:v>232630.50671536254</c:v>
                </c:pt>
                <c:pt idx="162">
                  <c:v>251188.64315095844</c:v>
                </c:pt>
                <c:pt idx="163">
                  <c:v>271227.25793320336</c:v>
                </c:pt>
                <c:pt idx="164">
                  <c:v>292864.45646252431</c:v>
                </c:pt>
                <c:pt idx="165">
                  <c:v>316227.7660168382</c:v>
                </c:pt>
                <c:pt idx="166">
                  <c:v>341454.88738336053</c:v>
                </c:pt>
                <c:pt idx="167">
                  <c:v>368694.50645195803</c:v>
                </c:pt>
                <c:pt idx="168">
                  <c:v>398107.17055349716</c:v>
                </c:pt>
                <c:pt idx="169">
                  <c:v>429866.2347082285</c:v>
                </c:pt>
                <c:pt idx="170">
                  <c:v>464158.88336127886</c:v>
                </c:pt>
                <c:pt idx="171">
                  <c:v>501187.23362727347</c:v>
                </c:pt>
                <c:pt idx="172">
                  <c:v>541169.52654646419</c:v>
                </c:pt>
                <c:pt idx="173">
                  <c:v>584341.41337351827</c:v>
                </c:pt>
                <c:pt idx="174">
                  <c:v>630957.34448019415</c:v>
                </c:pt>
                <c:pt idx="175">
                  <c:v>681292.06905796123</c:v>
                </c:pt>
                <c:pt idx="176">
                  <c:v>735642.25445964152</c:v>
                </c:pt>
                <c:pt idx="177">
                  <c:v>794328.23472428333</c:v>
                </c:pt>
                <c:pt idx="178">
                  <c:v>857695.89859089628</c:v>
                </c:pt>
                <c:pt idx="179">
                  <c:v>926118.72812879446</c:v>
                </c:pt>
                <c:pt idx="180">
                  <c:v>1000000</c:v>
                </c:pt>
                <c:pt idx="181">
                  <c:v>1079775.1623277115</c:v>
                </c:pt>
                <c:pt idx="182">
                  <c:v>1165914.4011798317</c:v>
                </c:pt>
                <c:pt idx="183">
                  <c:v>1258925.4117941677</c:v>
                </c:pt>
                <c:pt idx="184">
                  <c:v>1359356.3908785288</c:v>
                </c:pt>
                <c:pt idx="185">
                  <c:v>1467799.2676220734</c:v>
                </c:pt>
                <c:pt idx="186">
                  <c:v>1584893.1924611153</c:v>
                </c:pt>
                <c:pt idx="187">
                  <c:v>1711328.3041617833</c:v>
                </c:pt>
                <c:pt idx="188">
                  <c:v>1847849.797422294</c:v>
                </c:pt>
                <c:pt idx="189">
                  <c:v>1995262.31496888</c:v>
                </c:pt>
                <c:pt idx="190">
                  <c:v>2154434.6900318847</c:v>
                </c:pt>
                <c:pt idx="191">
                  <c:v>2326305.067153628</c:v>
                </c:pt>
                <c:pt idx="192">
                  <c:v>2511886.431509587</c:v>
                </c:pt>
                <c:pt idx="193">
                  <c:v>2712272.5793320318</c:v>
                </c:pt>
                <c:pt idx="194">
                  <c:v>2928644.5646252413</c:v>
                </c:pt>
                <c:pt idx="195">
                  <c:v>3162277.6601683851</c:v>
                </c:pt>
                <c:pt idx="196">
                  <c:v>3414548.8738336028</c:v>
                </c:pt>
                <c:pt idx="197">
                  <c:v>3686945.0645195777</c:v>
                </c:pt>
                <c:pt idx="198">
                  <c:v>3981071.705534976</c:v>
                </c:pt>
                <c:pt idx="199">
                  <c:v>4298662.3470822899</c:v>
                </c:pt>
                <c:pt idx="200">
                  <c:v>4641588.8336127857</c:v>
                </c:pt>
                <c:pt idx="201">
                  <c:v>5011872.3362727314</c:v>
                </c:pt>
                <c:pt idx="202">
                  <c:v>5411695.2654646477</c:v>
                </c:pt>
                <c:pt idx="203">
                  <c:v>5843414.133735179</c:v>
                </c:pt>
                <c:pt idx="204">
                  <c:v>6309573.4448019378</c:v>
                </c:pt>
                <c:pt idx="205">
                  <c:v>6812920.6905796202</c:v>
                </c:pt>
                <c:pt idx="206">
                  <c:v>7356422.5445964225</c:v>
                </c:pt>
                <c:pt idx="207">
                  <c:v>7943282.3472428275</c:v>
                </c:pt>
                <c:pt idx="208">
                  <c:v>8576958.9859089572</c:v>
                </c:pt>
                <c:pt idx="209">
                  <c:v>9261187.2812879551</c:v>
                </c:pt>
                <c:pt idx="210">
                  <c:v>10000000</c:v>
                </c:pt>
              </c:numCache>
            </c:numRef>
          </c:xVal>
          <c:yVal>
            <c:numRef>
              <c:f>'Small Signal'!$Z$2:$Z$212</c:f>
              <c:numCache>
                <c:formatCode>General</c:formatCode>
                <c:ptCount val="211"/>
                <c:pt idx="0">
                  <c:v>179.4885704999146</c:v>
                </c:pt>
                <c:pt idx="1">
                  <c:v>179.44777367304835</c:v>
                </c:pt>
                <c:pt idx="2">
                  <c:v>179.40372293148113</c:v>
                </c:pt>
                <c:pt idx="3">
                  <c:v>179.35615886418913</c:v>
                </c:pt>
                <c:pt idx="4">
                  <c:v>179.3048014097391</c:v>
                </c:pt>
                <c:pt idx="5">
                  <c:v>179.24934822032387</c:v>
                </c:pt>
                <c:pt idx="6">
                  <c:v>179.18947289824362</c:v>
                </c:pt>
                <c:pt idx="7">
                  <c:v>179.12482309542193</c:v>
                </c:pt>
                <c:pt idx="8">
                  <c:v>179.05501846599114</c:v>
                </c:pt>
                <c:pt idx="9">
                  <c:v>178.97964846143455</c:v>
                </c:pt>
                <c:pt idx="10">
                  <c:v>178.89826995724718</c:v>
                </c:pt>
                <c:pt idx="11">
                  <c:v>178.81040469958663</c:v>
                </c:pt>
                <c:pt idx="12">
                  <c:v>178.71553655995999</c:v>
                </c:pt>
                <c:pt idx="13">
                  <c:v>178.61310858565693</c:v>
                </c:pt>
                <c:pt idx="14">
                  <c:v>178.50251983343625</c:v>
                </c:pt>
                <c:pt idx="15">
                  <c:v>178.38312197395254</c:v>
                </c:pt>
                <c:pt idx="16">
                  <c:v>178.25421565463492</c:v>
                </c:pt>
                <c:pt idx="17">
                  <c:v>178.11504660928577</c:v>
                </c:pt>
                <c:pt idx="18">
                  <c:v>177.96480150365457</c:v>
                </c:pt>
                <c:pt idx="19">
                  <c:v>177.80260350779622</c:v>
                </c:pt>
                <c:pt idx="20">
                  <c:v>177.62750758830356</c:v>
                </c:pt>
                <c:pt idx="21">
                  <c:v>177.43849551672261</c:v>
                </c:pt>
                <c:pt idx="22">
                  <c:v>177.23447059486901</c:v>
                </c:pt>
                <c:pt idx="23">
                  <c:v>177.01425210368723</c:v>
                </c:pt>
                <c:pt idx="24">
                  <c:v>176.77656949012282</c:v>
                </c:pt>
                <c:pt idx="25">
                  <c:v>176.52005631669988</c:v>
                </c:pt>
                <c:pt idx="26">
                  <c:v>176.2432440116979</c:v>
                </c:pt>
                <c:pt idx="27">
                  <c:v>175.94455547472921</c:v>
                </c:pt>
                <c:pt idx="28">
                  <c:v>175.62229861398458</c:v>
                </c:pt>
                <c:pt idx="29">
                  <c:v>175.2746599184714</c:v>
                </c:pt>
                <c:pt idx="30">
                  <c:v>174.89969820242058</c:v>
                </c:pt>
                <c:pt idx="31">
                  <c:v>174.49533870106291</c:v>
                </c:pt>
                <c:pt idx="32">
                  <c:v>174.05936774875707</c:v>
                </c:pt>
                <c:pt idx="33">
                  <c:v>173.58942833368013</c:v>
                </c:pt>
                <c:pt idx="34">
                  <c:v>173.08301689978097</c:v>
                </c:pt>
                <c:pt idx="35">
                  <c:v>172.53748185817417</c:v>
                </c:pt>
                <c:pt idx="36">
                  <c:v>171.95002437812451</c:v>
                </c:pt>
                <c:pt idx="37">
                  <c:v>171.31770215314856</c:v>
                </c:pt>
                <c:pt idx="38">
                  <c:v>170.63743698041381</c:v>
                </c:pt>
                <c:pt idx="39">
                  <c:v>169.906027149663</c:v>
                </c:pt>
                <c:pt idx="40">
                  <c:v>169.1201658068008</c:v>
                </c:pt>
                <c:pt idx="41">
                  <c:v>168.27646662857731</c:v>
                </c:pt>
                <c:pt idx="42">
                  <c:v>167.37149830462425</c:v>
                </c:pt>
                <c:pt idx="43">
                  <c:v>166.40182945031123</c:v>
                </c:pt>
                <c:pt idx="44">
                  <c:v>165.36408563831546</c:v>
                </c:pt>
                <c:pt idx="45">
                  <c:v>164.25502019752886</c:v>
                </c:pt>
                <c:pt idx="46">
                  <c:v>163.07160023260894</c:v>
                </c:pt>
                <c:pt idx="47">
                  <c:v>161.81110890331558</c:v>
                </c:pt>
                <c:pt idx="48">
                  <c:v>160.4712643005951</c:v>
                </c:pt>
                <c:pt idx="49">
                  <c:v>159.05035419932372</c:v>
                </c:pt>
                <c:pt idx="50">
                  <c:v>157.54738450585884</c:v>
                </c:pt>
                <c:pt idx="51">
                  <c:v>155.96223734090893</c:v>
                </c:pt>
                <c:pt idx="52">
                  <c:v>154.29583245974007</c:v>
                </c:pt>
                <c:pt idx="53">
                  <c:v>152.55028326326865</c:v>
                </c:pt>
                <c:pt idx="54">
                  <c:v>150.72903626553259</c:v>
                </c:pt>
                <c:pt idx="55">
                  <c:v>148.8369809506778</c:v>
                </c:pt>
                <c:pt idx="56">
                  <c:v>146.88051596849286</c:v>
                </c:pt>
                <c:pt idx="57">
                  <c:v>144.86755809884085</c:v>
                </c:pt>
                <c:pt idx="58">
                  <c:v>142.80748278443889</c:v>
                </c:pt>
                <c:pt idx="59">
                  <c:v>140.71098946717569</c:v>
                </c:pt>
                <c:pt idx="60">
                  <c:v>138.58989126242994</c:v>
                </c:pt>
                <c:pt idx="61">
                  <c:v>136.45683601148943</c:v>
                </c:pt>
                <c:pt idx="62">
                  <c:v>134.32497339964962</c:v>
                </c:pt>
                <c:pt idx="63">
                  <c:v>132.2075893314157</c:v>
                </c:pt>
                <c:pt idx="64">
                  <c:v>130.117732903026</c:v>
                </c:pt>
                <c:pt idx="65">
                  <c:v>128.06786228651811</c:v>
                </c:pt>
                <c:pt idx="66">
                  <c:v>126.0695334415929</c:v>
                </c:pt>
                <c:pt idx="67">
                  <c:v>124.13315028411367</c:v>
                </c:pt>
                <c:pt idx="68">
                  <c:v>122.26778778669198</c:v>
                </c:pt>
                <c:pt idx="69">
                  <c:v>120.48109175053068</c:v>
                </c:pt>
                <c:pt idx="70">
                  <c:v>118.77925189048842</c:v>
                </c:pt>
                <c:pt idx="71">
                  <c:v>117.16703932173773</c:v>
                </c:pt>
                <c:pt idx="72">
                  <c:v>115.6478959866714</c:v>
                </c:pt>
                <c:pt idx="73">
                  <c:v>114.22406204004402</c:v>
                </c:pt>
                <c:pt idx="74">
                  <c:v>112.89672741663323</c:v>
                </c:pt>
                <c:pt idx="75">
                  <c:v>111.66619525862356</c:v>
                </c:pt>
                <c:pt idx="76">
                  <c:v>110.53204706057959</c:v>
                </c:pt>
                <c:pt idx="77">
                  <c:v>109.49330184110897</c:v>
                </c:pt>
                <c:pt idx="78">
                  <c:v>108.54856402891772</c:v>
                </c:pt>
                <c:pt idx="79">
                  <c:v>107.69615683944519</c:v>
                </c:pt>
                <c:pt idx="80">
                  <c:v>106.93423960984153</c:v>
                </c:pt>
                <c:pt idx="81">
                  <c:v>106.26090883110484</c:v>
                </c:pt>
                <c:pt idx="82">
                  <c:v>105.67428349685034</c:v>
                </c:pt>
                <c:pt idx="83">
                  <c:v>105.17257593692739</c:v>
                </c:pt>
                <c:pt idx="84">
                  <c:v>104.75414958917759</c:v>
                </c:pt>
                <c:pt idx="85">
                  <c:v>104.41756525002326</c:v>
                </c:pt>
                <c:pt idx="86">
                  <c:v>104.16161729149933</c:v>
                </c:pt>
                <c:pt idx="87">
                  <c:v>103.98536118466853</c:v>
                </c:pt>
                <c:pt idx="88">
                  <c:v>103.88813346151332</c:v>
                </c:pt>
                <c:pt idx="89">
                  <c:v>103.86956500367098</c:v>
                </c:pt>
                <c:pt idx="90">
                  <c:v>103.92958828281843</c:v>
                </c:pt>
                <c:pt idx="91">
                  <c:v>104.06843890398402</c:v>
                </c:pt>
                <c:pt idx="92">
                  <c:v>104.28665152531256</c:v>
                </c:pt>
                <c:pt idx="93">
                  <c:v>104.5850499492887</c:v>
                </c:pt>
                <c:pt idx="94">
                  <c:v>104.96473090412744</c:v>
                </c:pt>
                <c:pt idx="95">
                  <c:v>105.42704076430729</c:v>
                </c:pt>
                <c:pt idx="96">
                  <c:v>105.97354420346049</c:v>
                </c:pt>
                <c:pt idx="97">
                  <c:v>106.60598354362493</c:v>
                </c:pt>
                <c:pt idx="98">
                  <c:v>107.32622738188154</c:v>
                </c:pt>
                <c:pt idx="99">
                  <c:v>108.13620696752632</c:v>
                </c:pt>
                <c:pt idx="100">
                  <c:v>109.0378388099269</c:v>
                </c:pt>
                <c:pt idx="101">
                  <c:v>110.03293217044835</c:v>
                </c:pt>
                <c:pt idx="102">
                  <c:v>111.12308049319941</c:v>
                </c:pt>
                <c:pt idx="103">
                  <c:v>112.3095365270006</c:v>
                </c:pt>
                <c:pt idx="104">
                  <c:v>113.59307195039476</c:v>
                </c:pt>
                <c:pt idx="105">
                  <c:v>114.97382378047382</c:v>
                </c:pt>
                <c:pt idx="106">
                  <c:v>116.45113173289239</c:v>
                </c:pt>
                <c:pt idx="107">
                  <c:v>118.0233729453235</c:v>
                </c:pt>
                <c:pt idx="108">
                  <c:v>119.68780292339312</c:v>
                </c:pt>
                <c:pt idx="109">
                  <c:v>121.44041394022942</c:v>
                </c:pt>
                <c:pt idx="110">
                  <c:v>123.27582401717126</c:v>
                </c:pt>
                <c:pt idx="111">
                  <c:v>125.18721053795302</c:v>
                </c:pt>
                <c:pt idx="112">
                  <c:v>127.1663019857675</c:v>
                </c:pt>
                <c:pt idx="113">
                  <c:v>129.20343882713462</c:v>
                </c:pt>
                <c:pt idx="114">
                  <c:v>131.28771003404532</c:v>
                </c:pt>
                <c:pt idx="115">
                  <c:v>133.40716535913884</c:v>
                </c:pt>
                <c:pt idx="116">
                  <c:v>135.54909593518647</c:v>
                </c:pt>
                <c:pt idx="117">
                  <c:v>137.70036813930511</c:v>
                </c:pt>
                <c:pt idx="118">
                  <c:v>139.84778923270906</c:v>
                </c:pt>
                <c:pt idx="119">
                  <c:v>141.97847925817217</c:v>
                </c:pt>
                <c:pt idx="120">
                  <c:v>144.08022284440798</c:v>
                </c:pt>
                <c:pt idx="121">
                  <c:v>146.14177709444317</c:v>
                </c:pt>
                <c:pt idx="122">
                  <c:v>148.15311711135172</c:v>
                </c:pt>
                <c:pt idx="123">
                  <c:v>150.10560789636455</c:v>
                </c:pt>
                <c:pt idx="124">
                  <c:v>151.99209905318639</c:v>
                </c:pt>
                <c:pt idx="125">
                  <c:v>153.80694573507756</c:v>
                </c:pt>
                <c:pt idx="126">
                  <c:v>155.54596469076742</c:v>
                </c:pt>
                <c:pt idx="127">
                  <c:v>157.20633766124107</c:v>
                </c:pt>
                <c:pt idx="128">
                  <c:v>158.78647574354159</c:v>
                </c:pt>
                <c:pt idx="129">
                  <c:v>160.28585798297684</c:v>
                </c:pt>
                <c:pt idx="130">
                  <c:v>161.70485586650497</c:v>
                </c:pt>
                <c:pt idx="131">
                  <c:v>163.044553086794</c:v>
                </c:pt>
                <c:pt idx="132">
                  <c:v>164.30656738431401</c:v>
                </c:pt>
                <c:pt idx="133">
                  <c:v>165.4928787971273</c:v>
                </c:pt>
                <c:pt idx="134">
                  <c:v>166.60566647640411</c:v>
                </c:pt>
                <c:pt idx="135">
                  <c:v>167.64715447748114</c:v>
                </c:pt>
                <c:pt idx="136">
                  <c:v>168.61946565400973</c:v>
                </c:pt>
                <c:pt idx="137">
                  <c:v>169.52448196518526</c:v>
                </c:pt>
                <c:pt idx="138">
                  <c:v>170.36370913486058</c:v>
                </c:pt>
                <c:pt idx="139">
                  <c:v>171.13814365988014</c:v>
                </c:pt>
                <c:pt idx="140">
                  <c:v>171.84814064905882</c:v>
                </c:pt>
                <c:pt idx="141">
                  <c:v>172.49328189424742</c:v>
                </c:pt>
                <c:pt idx="142">
                  <c:v>173.07224494960974</c:v>
                </c:pt>
                <c:pt idx="143">
                  <c:v>173.58267583672102</c:v>
                </c:pt>
                <c:pt idx="144">
                  <c:v>174.0210702834089</c:v>
                </c:pt>
                <c:pt idx="145">
                  <c:v>174.38267106420898</c:v>
                </c:pt>
                <c:pt idx="146">
                  <c:v>174.66139186449203</c:v>
                </c:pt>
                <c:pt idx="147">
                  <c:v>174.84978083583925</c:v>
                </c:pt>
                <c:pt idx="148">
                  <c:v>174.93903920084469</c:v>
                </c:pt>
                <c:pt idx="149">
                  <c:v>174.91911132735794</c:v>
                </c:pt>
                <c:pt idx="150">
                  <c:v>174.77886198542885</c:v>
                </c:pt>
                <c:pt idx="151">
                  <c:v>174.50635343424773</c:v>
                </c:pt>
                <c:pt idx="152">
                  <c:v>174.0892291789892</c:v>
                </c:pt>
                <c:pt idx="153">
                  <c:v>173.51520268613157</c:v>
                </c:pt>
                <c:pt idx="154">
                  <c:v>172.77263856003037</c:v>
                </c:pt>
                <c:pt idx="155">
                  <c:v>171.85120172102319</c:v>
                </c:pt>
                <c:pt idx="156">
                  <c:v>170.74253849541657</c:v>
                </c:pt>
                <c:pt idx="157">
                  <c:v>169.44094396590828</c:v>
                </c:pt>
                <c:pt idx="158">
                  <c:v>167.9439640970235</c:v>
                </c:pt>
                <c:pt idx="159">
                  <c:v>166.25288032959216</c:v>
                </c:pt>
                <c:pt idx="160">
                  <c:v>164.37302921891592</c:v>
                </c:pt>
                <c:pt idx="161">
                  <c:v>162.31392024570374</c:v>
                </c:pt>
                <c:pt idx="162">
                  <c:v>160.0891303907583</c:v>
                </c:pt>
                <c:pt idx="163">
                  <c:v>157.71597297013255</c:v>
                </c:pt>
                <c:pt idx="164">
                  <c:v>155.21495851696488</c:v>
                </c:pt>
                <c:pt idx="165">
                  <c:v>152.60908470217475</c:v>
                </c:pt>
                <c:pt idx="166">
                  <c:v>149.9230078498295</c:v>
                </c:pt>
                <c:pt idx="167">
                  <c:v>147.18215831143019</c:v>
                </c:pt>
                <c:pt idx="168">
                  <c:v>144.41186442377639</c:v>
                </c:pt>
                <c:pt idx="169">
                  <c:v>141.63654477532572</c:v>
                </c:pt>
                <c:pt idx="170">
                  <c:v>138.87901711243268</c:v>
                </c:pt>
                <c:pt idx="171">
                  <c:v>136.15995654314492</c:v>
                </c:pt>
                <c:pt idx="172">
                  <c:v>133.49751840214009</c:v>
                </c:pt>
                <c:pt idx="173">
                  <c:v>130.90712482558357</c:v>
                </c:pt>
                <c:pt idx="174">
                  <c:v>128.40140076823562</c:v>
                </c:pt>
                <c:pt idx="175">
                  <c:v>125.99023602060666</c:v>
                </c:pt>
                <c:pt idx="176">
                  <c:v>123.68094498834253</c:v>
                </c:pt>
                <c:pt idx="177">
                  <c:v>121.47849509024178</c:v>
                </c:pt>
                <c:pt idx="178">
                  <c:v>119.3857766874527</c:v>
                </c:pt>
                <c:pt idx="179">
                  <c:v>117.40389139965883</c:v>
                </c:pt>
                <c:pt idx="180">
                  <c:v>115.5324404978039</c:v>
                </c:pt>
                <c:pt idx="181">
                  <c:v>113.76980000055232</c:v>
                </c:pt>
                <c:pt idx="182">
                  <c:v>112.11337361167594</c:v>
                </c:pt>
                <c:pt idx="183">
                  <c:v>110.55981842461354</c:v>
                </c:pt>
                <c:pt idx="184">
                  <c:v>109.10524128378806</c:v>
                </c:pt>
                <c:pt idx="185">
                  <c:v>107.74536585406247</c:v>
                </c:pt>
                <c:pt idx="186">
                  <c:v>106.47567190885312</c:v>
                </c:pt>
                <c:pt idx="187">
                  <c:v>105.29150923534417</c:v>
                </c:pt>
                <c:pt idx="188">
                  <c:v>104.18818900747173</c:v>
                </c:pt>
                <c:pt idx="189">
                  <c:v>103.16105561679831</c:v>
                </c:pt>
                <c:pt idx="190">
                  <c:v>102.20554188060345</c:v>
                </c:pt>
                <c:pt idx="191">
                  <c:v>101.31721034570523</c:v>
                </c:pt>
                <c:pt idx="192">
                  <c:v>100.49178313518176</c:v>
                </c:pt>
                <c:pt idx="193">
                  <c:v>99.725162485055833</c:v>
                </c:pt>
                <c:pt idx="194">
                  <c:v>99.013443816938448</c:v>
                </c:pt>
                <c:pt idx="195">
                  <c:v>98.352922907752841</c:v>
                </c:pt>
                <c:pt idx="196">
                  <c:v>97.740098458532188</c:v>
                </c:pt>
                <c:pt idx="197">
                  <c:v>97.171671135181924</c:v>
                </c:pt>
                <c:pt idx="198">
                  <c:v>96.644539955858733</c:v>
                </c:pt>
                <c:pt idx="199">
                  <c:v>96.155796730969428</c:v>
                </c:pt>
                <c:pt idx="200">
                  <c:v>95.702719120263566</c:v>
                </c:pt>
                <c:pt idx="201">
                  <c:v>95.282762754070873</c:v>
                </c:pt>
                <c:pt idx="202">
                  <c:v>94.893552769250164</c:v>
                </c:pt>
                <c:pt idx="203">
                  <c:v>94.532875031800856</c:v>
                </c:pt>
                <c:pt idx="204">
                  <c:v>94.198667254524466</c:v>
                </c:pt>
                <c:pt idx="205">
                  <c:v>93.889010167083924</c:v>
                </c:pt>
                <c:pt idx="206">
                  <c:v>93.602118855103569</c:v>
                </c:pt>
                <c:pt idx="207">
                  <c:v>93.336334352709457</c:v>
                </c:pt>
                <c:pt idx="208">
                  <c:v>93.090115547541203</c:v>
                </c:pt>
                <c:pt idx="209">
                  <c:v>92.862031437457404</c:v>
                </c:pt>
                <c:pt idx="210">
                  <c:v>92.650753762818312</c:v>
                </c:pt>
              </c:numCache>
            </c:numRef>
          </c:yVal>
          <c:smooth val="1"/>
        </c:ser>
        <c:dLbls>
          <c:showLegendKey val="0"/>
          <c:showVal val="0"/>
          <c:showCatName val="0"/>
          <c:showSerName val="0"/>
          <c:showPercent val="0"/>
          <c:showBubbleSize val="0"/>
        </c:dLbls>
        <c:axId val="205809152"/>
        <c:axId val="205810688"/>
      </c:scatterChart>
      <c:valAx>
        <c:axId val="205792768"/>
        <c:scaling>
          <c:logBase val="10"/>
          <c:orientation val="minMax"/>
          <c:max val="1000000"/>
          <c:min val="10"/>
        </c:scaling>
        <c:delete val="1"/>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Frequency (Hz)</a:t>
                </a:r>
              </a:p>
            </c:rich>
          </c:tx>
          <c:layout>
            <c:manualLayout>
              <c:xMode val="edge"/>
              <c:yMode val="edge"/>
              <c:x val="0.43990130318677484"/>
              <c:y val="0.88903473333438965"/>
            </c:manualLayout>
          </c:layout>
          <c:overlay val="0"/>
          <c:spPr>
            <a:noFill/>
            <a:ln w="25400">
              <a:noFill/>
            </a:ln>
          </c:spPr>
        </c:title>
        <c:numFmt formatCode="General" sourceLinked="1"/>
        <c:majorTickMark val="out"/>
        <c:minorTickMark val="none"/>
        <c:tickLblPos val="nextTo"/>
        <c:crossAx val="205794688"/>
        <c:crossesAt val="0"/>
        <c:crossBetween val="midCat"/>
      </c:valAx>
      <c:valAx>
        <c:axId val="205794688"/>
        <c:scaling>
          <c:orientation val="minMax"/>
          <c:max val="60"/>
          <c:min val="-40"/>
        </c:scaling>
        <c:delete val="0"/>
        <c:axPos val="l"/>
        <c:majorGridlines>
          <c:spPr>
            <a:ln w="3175">
              <a:solidFill>
                <a:srgbClr val="000000"/>
              </a:solidFill>
              <a:prstDash val="solid"/>
            </a:ln>
          </c:spPr>
        </c:majorGridlines>
        <c:minorGridlines/>
        <c:title>
          <c:tx>
            <c:rich>
              <a:bodyPr/>
              <a:lstStyle/>
              <a:p>
                <a:pPr>
                  <a:defRPr sz="1000" b="1" i="0" u="none" strike="noStrike" baseline="0">
                    <a:solidFill>
                      <a:srgbClr val="000000"/>
                    </a:solidFill>
                    <a:latin typeface="Arial"/>
                    <a:ea typeface="Arial"/>
                    <a:cs typeface="Arial"/>
                  </a:defRPr>
                </a:pPr>
                <a:r>
                  <a:rPr lang="en-US"/>
                  <a:t>Gain - dB</a:t>
                </a:r>
              </a:p>
            </c:rich>
          </c:tx>
          <c:layout>
            <c:manualLayout>
              <c:xMode val="edge"/>
              <c:yMode val="edge"/>
              <c:x val="1.6337105465302676E-2"/>
              <c:y val="0.41125163051801622"/>
            </c:manualLayout>
          </c:layout>
          <c:overlay val="0"/>
          <c:spPr>
            <a:noFill/>
            <a:ln w="25400">
              <a:noFill/>
            </a:ln>
          </c:spPr>
        </c:title>
        <c:numFmt formatCode="General" sourceLinked="1"/>
        <c:majorTickMark val="cross"/>
        <c:minorTickMark val="none"/>
        <c:tickLblPos val="nextTo"/>
        <c:txPr>
          <a:bodyPr rot="0" vert="horz"/>
          <a:lstStyle/>
          <a:p>
            <a:pPr>
              <a:defRPr sz="1000" b="0" i="0" u="none" strike="noStrike" baseline="0">
                <a:solidFill>
                  <a:srgbClr val="000000"/>
                </a:solidFill>
                <a:latin typeface="Arial"/>
                <a:ea typeface="Arial"/>
                <a:cs typeface="Arial"/>
              </a:defRPr>
            </a:pPr>
            <a:endParaRPr lang="en-US"/>
          </a:p>
        </c:txPr>
        <c:crossAx val="205792768"/>
        <c:crosses val="autoZero"/>
        <c:crossBetween val="midCat"/>
        <c:majorUnit val="10"/>
        <c:minorUnit val="5"/>
      </c:valAx>
      <c:valAx>
        <c:axId val="205809152"/>
        <c:scaling>
          <c:logBase val="10"/>
          <c:orientation val="minMax"/>
          <c:max val="1000000"/>
          <c:min val="10"/>
        </c:scaling>
        <c:delete val="0"/>
        <c:axPos val="b"/>
        <c:minorGridlines/>
        <c:numFmt formatCode="General" sourceLinked="1"/>
        <c:majorTickMark val="cross"/>
        <c:minorTickMark val="none"/>
        <c:tickLblPos val="low"/>
        <c:spPr>
          <a:ln w="19050" cmpd="sng">
            <a:solidFill>
              <a:schemeClr val="tx1"/>
            </a:solidFill>
          </a:ln>
        </c:spPr>
        <c:txPr>
          <a:bodyPr rot="0" vert="horz"/>
          <a:lstStyle/>
          <a:p>
            <a:pPr>
              <a:defRPr sz="1000" b="0" i="0" u="none" strike="noStrike" baseline="0">
                <a:solidFill>
                  <a:srgbClr val="000000"/>
                </a:solidFill>
                <a:latin typeface="Arial"/>
                <a:ea typeface="Arial"/>
                <a:cs typeface="Arial"/>
              </a:defRPr>
            </a:pPr>
            <a:endParaRPr lang="en-US"/>
          </a:p>
        </c:txPr>
        <c:crossAx val="205810688"/>
        <c:crosses val="autoZero"/>
        <c:crossBetween val="midCat"/>
      </c:valAx>
      <c:valAx>
        <c:axId val="205810688"/>
        <c:scaling>
          <c:orientation val="minMax"/>
          <c:max val="270"/>
          <c:min val="-180"/>
        </c:scaling>
        <c:delete val="0"/>
        <c:axPos val="r"/>
        <c:title>
          <c:tx>
            <c:rich>
              <a:bodyPr/>
              <a:lstStyle/>
              <a:p>
                <a:pPr>
                  <a:defRPr sz="1000" b="1" i="0" u="none" strike="noStrike" baseline="0">
                    <a:solidFill>
                      <a:srgbClr val="000000"/>
                    </a:solidFill>
                    <a:latin typeface="Arial"/>
                    <a:ea typeface="Arial"/>
                    <a:cs typeface="Arial"/>
                  </a:defRPr>
                </a:pPr>
                <a:r>
                  <a:rPr lang="en-US"/>
                  <a:t>Phase - deg</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n-US"/>
          </a:p>
        </c:txPr>
        <c:crossAx val="205809152"/>
        <c:crosses val="max"/>
        <c:crossBetween val="midCat"/>
        <c:majorUnit val="45"/>
      </c:valAx>
      <c:spPr>
        <a:noFill/>
        <a:ln w="12700">
          <a:solidFill>
            <a:srgbClr val="808080"/>
          </a:solidFill>
          <a:prstDash val="solid"/>
        </a:ln>
      </c:spPr>
    </c:plotArea>
    <c:legend>
      <c:legendPos val="r"/>
      <c:layout>
        <c:manualLayout>
          <c:xMode val="edge"/>
          <c:yMode val="edge"/>
          <c:x val="5.519254265330123E-2"/>
          <c:y val="0.92555450815126983"/>
          <c:w val="0.87509163478748164"/>
          <c:h val="2.917505030181089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211" r="0.75000000000000211" t="1" header="0.5" footer="0.5"/>
    <c:pageSetup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21</xdr:row>
          <xdr:rowOff>85725</xdr:rowOff>
        </xdr:from>
        <xdr:to>
          <xdr:col>3</xdr:col>
          <xdr:colOff>190500</xdr:colOff>
          <xdr:row>44</xdr:row>
          <xdr:rowOff>114300</xdr:rowOff>
        </xdr:to>
        <xdr:sp macro="" textlink="">
          <xdr:nvSpPr>
            <xdr:cNvPr id="13492" name="Object 180" hidden="1">
              <a:extLst>
                <a:ext uri="{63B3BB69-23CF-44E3-9099-C40C66FF867C}">
                  <a14:compatExt spid="_x0000_s1349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0</xdr:colOff>
      <xdr:row>2</xdr:row>
      <xdr:rowOff>0</xdr:rowOff>
    </xdr:from>
    <xdr:to>
      <xdr:col>16</xdr:col>
      <xdr:colOff>1095935</xdr:colOff>
      <xdr:row>39</xdr:row>
      <xdr:rowOff>98612</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A1:AE1048576" totalsRowShown="0" headerRowDxfId="49" dataDxfId="48">
  <autoFilter ref="A1:AE1048576"/>
  <sortState ref="A2:AE17">
    <sortCondition ref="A2:A1048575"/>
  </sortState>
  <tableColumns count="31">
    <tableColumn id="1" name="Part Number" dataDxfId="47"/>
    <tableColumn id="2" name="PWR Number" dataDxfId="46"/>
    <tableColumn id="3" name="CIN RD" dataDxfId="45"/>
    <tableColumn id="4" name="COUT RD" dataDxfId="44"/>
    <tableColumn id="5" name="Vdev min" dataDxfId="43"/>
    <tableColumn id="6" name="Vdev max" dataDxfId="42"/>
    <tableColumn id="30" name="Idev" dataDxfId="41"/>
    <tableColumn id="7" name="gmea" dataDxfId="40"/>
    <tableColumn id="8" name="gmps" dataDxfId="39"/>
    <tableColumn id="9" name="Se" dataDxfId="38"/>
    <tableColumn id="10" name="Vref" dataDxfId="37"/>
    <tableColumn id="11" name="Vref tol" dataDxfId="36"/>
    <tableColumn id="12" name="Line Load Reg" dataDxfId="35"/>
    <tableColumn id="13" name="I1" dataDxfId="34"/>
    <tableColumn id="14" name="Ihyst" dataDxfId="33"/>
    <tableColumn id="15" name="Vena start" dataDxfId="32"/>
    <tableColumn id="16" name="Vena stop" dataDxfId="31"/>
    <tableColumn id="17" name="EA BW" dataDxfId="30"/>
    <tableColumn id="18" name="fsw max" dataDxfId="29"/>
    <tableColumn id="19" name="fsw min range" dataDxfId="28"/>
    <tableColumn id="20" name="I current limit" dataDxfId="27"/>
    <tableColumn id="31" name="I current limit reverse (min)" dataDxfId="26"/>
    <tableColumn id="21" name="Iq non switching" dataDxfId="25"/>
    <tableColumn id="22" name="ton min" dataDxfId="24"/>
    <tableColumn id="23" name="Rhs" dataDxfId="23"/>
    <tableColumn id="24" name="Rls" dataDxfId="22"/>
    <tableColumn id="25" name="Rt" dataDxfId="21"/>
    <tableColumn id="26" name="freq" dataDxfId="20"/>
    <tableColumn id="27" name="Iss" dataDxfId="19"/>
    <tableColumn id="28" name="Ven max" dataDxfId="18"/>
    <tableColumn id="29" name="FCCM" dataDxfId="17"/>
  </tableColumns>
  <tableStyleInfo name="TableStyleLight8" showFirstColumn="1"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ti.com/corp/docs/legal/important-notice.s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1"/>
  <sheetViews>
    <sheetView zoomScaleNormal="100" workbookViewId="0">
      <selection activeCell="M4" sqref="M4"/>
    </sheetView>
  </sheetViews>
  <sheetFormatPr defaultColWidth="0" defaultRowHeight="12.75" zeroHeight="1" x14ac:dyDescent="0.2"/>
  <cols>
    <col min="1" max="1" width="5.7109375" customWidth="1"/>
    <col min="2" max="12" width="9.140625" customWidth="1"/>
    <col min="13" max="13" width="10.140625" bestFit="1" customWidth="1"/>
    <col min="14" max="14" width="9.140625" customWidth="1"/>
    <col min="15" max="15" width="5.7109375" customWidth="1"/>
    <col min="16" max="16384" width="9.140625" hidden="1"/>
  </cols>
  <sheetData>
    <row r="1" spans="1:15" x14ac:dyDescent="0.2">
      <c r="A1" s="189"/>
      <c r="B1" s="189"/>
      <c r="C1" s="189"/>
      <c r="D1" s="189"/>
      <c r="E1" s="189"/>
      <c r="F1" s="189"/>
      <c r="G1" s="189"/>
      <c r="H1" s="189"/>
      <c r="I1" s="189"/>
      <c r="J1" s="189"/>
      <c r="K1" s="189"/>
      <c r="L1" s="189"/>
      <c r="M1" s="189"/>
      <c r="N1" s="189"/>
      <c r="O1" s="189"/>
    </row>
    <row r="2" spans="1:15" ht="13.5" thickBot="1" x14ac:dyDescent="0.25">
      <c r="A2" s="189"/>
      <c r="B2" s="189"/>
      <c r="C2" s="189"/>
      <c r="D2" s="189"/>
      <c r="E2" s="189"/>
      <c r="F2" s="189"/>
      <c r="G2" s="189"/>
      <c r="H2" s="189"/>
      <c r="I2" s="189"/>
      <c r="J2" s="189"/>
      <c r="K2" s="189"/>
      <c r="L2" s="189"/>
      <c r="M2" s="189"/>
      <c r="N2" s="189"/>
      <c r="O2" s="189"/>
    </row>
    <row r="3" spans="1:15" ht="13.5" thickTop="1" x14ac:dyDescent="0.2">
      <c r="A3" s="189"/>
      <c r="B3" s="9"/>
      <c r="C3" s="10"/>
      <c r="D3" s="10"/>
      <c r="E3" s="10"/>
      <c r="F3" s="10"/>
      <c r="G3" s="10"/>
      <c r="H3" s="10"/>
      <c r="I3" s="10"/>
      <c r="J3" s="10"/>
      <c r="K3" s="10"/>
      <c r="L3" s="10"/>
      <c r="M3" s="10"/>
      <c r="N3" s="11"/>
      <c r="O3" s="189"/>
    </row>
    <row r="4" spans="1:15" x14ac:dyDescent="0.2">
      <c r="A4" s="189"/>
      <c r="B4" s="12"/>
      <c r="C4" s="13"/>
      <c r="D4" s="13"/>
      <c r="E4" s="13"/>
      <c r="F4" s="13"/>
      <c r="G4" s="13"/>
      <c r="H4" s="13"/>
      <c r="I4" s="13"/>
      <c r="J4" s="13"/>
      <c r="K4" s="13"/>
      <c r="L4" s="211" t="s">
        <v>330</v>
      </c>
      <c r="M4" s="188">
        <v>43812</v>
      </c>
      <c r="N4" s="14"/>
      <c r="O4" s="189"/>
    </row>
    <row r="5" spans="1:15" ht="30" x14ac:dyDescent="0.4">
      <c r="A5" s="189"/>
      <c r="B5" s="15"/>
      <c r="C5" s="16" t="s">
        <v>279</v>
      </c>
      <c r="D5" s="16"/>
      <c r="E5" s="16"/>
      <c r="F5" s="16"/>
      <c r="G5" s="16"/>
      <c r="H5" s="16"/>
      <c r="I5" s="16"/>
      <c r="J5" s="16"/>
      <c r="K5" s="16"/>
      <c r="L5" s="16"/>
      <c r="M5" s="16"/>
      <c r="N5" s="17"/>
      <c r="O5" s="189"/>
    </row>
    <row r="6" spans="1:15" x14ac:dyDescent="0.2">
      <c r="A6" s="189"/>
      <c r="B6" s="12"/>
      <c r="C6" s="229" t="s">
        <v>281</v>
      </c>
      <c r="D6" s="230"/>
      <c r="E6" s="230"/>
      <c r="F6" s="230"/>
      <c r="G6" s="230"/>
      <c r="H6" s="230"/>
      <c r="I6" s="230"/>
      <c r="J6" s="230"/>
      <c r="K6" s="230"/>
      <c r="L6" s="230"/>
      <c r="M6" s="230"/>
      <c r="N6" s="14"/>
      <c r="O6" s="189"/>
    </row>
    <row r="7" spans="1:15" x14ac:dyDescent="0.2">
      <c r="A7" s="189"/>
      <c r="B7" s="12"/>
      <c r="C7" s="13"/>
      <c r="D7" s="13"/>
      <c r="E7" s="13"/>
      <c r="F7" s="13"/>
      <c r="G7" s="13"/>
      <c r="H7" s="13"/>
      <c r="I7" s="13"/>
      <c r="J7" s="13"/>
      <c r="K7" s="13"/>
      <c r="L7" s="13"/>
      <c r="M7" s="13"/>
      <c r="N7" s="14"/>
      <c r="O7" s="189"/>
    </row>
    <row r="8" spans="1:15" x14ac:dyDescent="0.2">
      <c r="A8" s="189"/>
      <c r="B8" s="12"/>
      <c r="C8" s="227" t="s">
        <v>185</v>
      </c>
      <c r="D8" s="227"/>
      <c r="E8" s="227"/>
      <c r="F8" s="227"/>
      <c r="G8" s="227"/>
      <c r="H8" s="227"/>
      <c r="I8" s="227"/>
      <c r="J8" s="227"/>
      <c r="K8" s="227"/>
      <c r="L8" s="227"/>
      <c r="M8" s="227"/>
      <c r="N8" s="14"/>
      <c r="O8" s="189"/>
    </row>
    <row r="9" spans="1:15" x14ac:dyDescent="0.2">
      <c r="A9" s="189"/>
      <c r="B9" s="12"/>
      <c r="C9" s="227"/>
      <c r="D9" s="227"/>
      <c r="E9" s="227"/>
      <c r="F9" s="227"/>
      <c r="G9" s="227"/>
      <c r="H9" s="227"/>
      <c r="I9" s="227"/>
      <c r="J9" s="227"/>
      <c r="K9" s="227"/>
      <c r="L9" s="227"/>
      <c r="M9" s="227"/>
      <c r="N9" s="14"/>
      <c r="O9" s="189"/>
    </row>
    <row r="10" spans="1:15" x14ac:dyDescent="0.2">
      <c r="A10" s="189"/>
      <c r="B10" s="12"/>
      <c r="C10" s="13"/>
      <c r="D10" s="13"/>
      <c r="E10" s="13"/>
      <c r="F10" s="13"/>
      <c r="G10" s="13"/>
      <c r="H10" s="13"/>
      <c r="I10" s="13"/>
      <c r="J10" s="13"/>
      <c r="K10" s="13"/>
      <c r="L10" s="13"/>
      <c r="M10" s="13"/>
      <c r="N10" s="14"/>
      <c r="O10" s="189"/>
    </row>
    <row r="11" spans="1:15" x14ac:dyDescent="0.2">
      <c r="A11" s="189"/>
      <c r="B11" s="12"/>
      <c r="C11" s="229" t="s">
        <v>282</v>
      </c>
      <c r="D11" s="230"/>
      <c r="E11" s="230"/>
      <c r="F11" s="230"/>
      <c r="G11" s="230"/>
      <c r="H11" s="230"/>
      <c r="I11" s="230"/>
      <c r="J11" s="230"/>
      <c r="K11" s="230"/>
      <c r="L11" s="230"/>
      <c r="M11" s="230"/>
      <c r="N11" s="14"/>
      <c r="O11" s="189"/>
    </row>
    <row r="12" spans="1:15" x14ac:dyDescent="0.2">
      <c r="A12" s="189"/>
      <c r="B12" s="12"/>
      <c r="C12" s="231" t="s">
        <v>280</v>
      </c>
      <c r="D12" s="231"/>
      <c r="E12" s="231"/>
      <c r="F12" s="231"/>
      <c r="G12" s="231"/>
      <c r="H12" s="231"/>
      <c r="I12" s="231"/>
      <c r="J12" s="231"/>
      <c r="K12" s="231"/>
      <c r="L12" s="231"/>
      <c r="M12" s="231"/>
      <c r="N12" s="14"/>
      <c r="O12" s="189"/>
    </row>
    <row r="13" spans="1:15" x14ac:dyDescent="0.2">
      <c r="A13" s="189"/>
      <c r="B13" s="12"/>
      <c r="C13" s="232" t="s">
        <v>75</v>
      </c>
      <c r="D13" s="232"/>
      <c r="E13" s="232"/>
      <c r="F13" s="232"/>
      <c r="G13" s="232"/>
      <c r="H13" s="232"/>
      <c r="I13" s="232"/>
      <c r="J13" s="232"/>
      <c r="K13" s="232"/>
      <c r="L13" s="232"/>
      <c r="M13" s="232"/>
      <c r="N13" s="14"/>
      <c r="O13" s="189"/>
    </row>
    <row r="14" spans="1:15" x14ac:dyDescent="0.2">
      <c r="A14" s="189"/>
      <c r="B14" s="12"/>
      <c r="C14" s="6"/>
      <c r="D14" s="6"/>
      <c r="E14" s="6"/>
      <c r="F14" s="6"/>
      <c r="G14" s="13"/>
      <c r="H14" s="13"/>
      <c r="I14" s="13"/>
      <c r="J14" s="13"/>
      <c r="K14" s="13"/>
      <c r="L14" s="13"/>
      <c r="M14" s="13"/>
      <c r="N14" s="14"/>
      <c r="O14" s="189"/>
    </row>
    <row r="15" spans="1:15" x14ac:dyDescent="0.2">
      <c r="A15" s="189"/>
      <c r="B15" s="12"/>
      <c r="C15" s="230" t="s">
        <v>123</v>
      </c>
      <c r="D15" s="230"/>
      <c r="E15" s="230"/>
      <c r="F15" s="230"/>
      <c r="G15" s="230"/>
      <c r="H15" s="230"/>
      <c r="I15" s="230"/>
      <c r="J15" s="230"/>
      <c r="K15" s="230"/>
      <c r="L15" s="230"/>
      <c r="M15" s="230"/>
      <c r="N15" s="14"/>
      <c r="O15" s="189"/>
    </row>
    <row r="16" spans="1:15" x14ac:dyDescent="0.2">
      <c r="A16" s="189"/>
      <c r="B16" s="12"/>
      <c r="C16" s="13"/>
      <c r="D16" s="13"/>
      <c r="E16" s="13"/>
      <c r="F16" s="13"/>
      <c r="G16" s="13"/>
      <c r="H16" s="13"/>
      <c r="I16" s="13"/>
      <c r="J16" s="13"/>
      <c r="K16" s="13"/>
      <c r="L16" s="13"/>
      <c r="M16" s="13"/>
      <c r="N16" s="14"/>
      <c r="O16" s="189"/>
    </row>
    <row r="17" spans="1:15" x14ac:dyDescent="0.2">
      <c r="A17" s="189"/>
      <c r="B17" s="12"/>
      <c r="C17" s="229" t="s">
        <v>283</v>
      </c>
      <c r="D17" s="230"/>
      <c r="E17" s="230"/>
      <c r="F17" s="230"/>
      <c r="G17" s="230"/>
      <c r="H17" s="230"/>
      <c r="I17" s="230"/>
      <c r="J17" s="230"/>
      <c r="K17" s="230"/>
      <c r="L17" s="230"/>
      <c r="M17" s="230"/>
      <c r="N17" s="14"/>
      <c r="O17" s="189"/>
    </row>
    <row r="18" spans="1:15" ht="13.5" thickBot="1" x14ac:dyDescent="0.25">
      <c r="A18" s="189"/>
      <c r="B18" s="12"/>
      <c r="C18" s="13"/>
      <c r="D18" s="13"/>
      <c r="E18" s="13"/>
      <c r="F18" s="13"/>
      <c r="G18" s="13"/>
      <c r="H18" s="13"/>
      <c r="I18" s="13"/>
      <c r="J18" s="13"/>
      <c r="K18" s="13"/>
      <c r="L18" s="13"/>
      <c r="M18" s="13"/>
      <c r="N18" s="14"/>
      <c r="O18" s="189"/>
    </row>
    <row r="19" spans="1:15" x14ac:dyDescent="0.2">
      <c r="A19" s="189"/>
      <c r="B19" s="12"/>
      <c r="C19" s="18"/>
      <c r="D19" s="19"/>
      <c r="E19" s="19"/>
      <c r="F19" s="19"/>
      <c r="G19" s="19"/>
      <c r="H19" s="19"/>
      <c r="I19" s="19"/>
      <c r="J19" s="19"/>
      <c r="K19" s="19"/>
      <c r="L19" s="19"/>
      <c r="M19" s="20"/>
      <c r="N19" s="14"/>
      <c r="O19" s="189"/>
    </row>
    <row r="20" spans="1:15" ht="15.75" x14ac:dyDescent="0.2">
      <c r="A20" s="189"/>
      <c r="B20" s="12"/>
      <c r="C20" s="21"/>
      <c r="D20" s="233" t="s">
        <v>74</v>
      </c>
      <c r="E20" s="233"/>
      <c r="F20" s="233"/>
      <c r="G20" s="233"/>
      <c r="H20" s="233"/>
      <c r="I20" s="233"/>
      <c r="J20" s="233"/>
      <c r="K20" s="233"/>
      <c r="L20" s="233"/>
      <c r="M20" s="22"/>
      <c r="N20" s="14"/>
      <c r="O20" s="189"/>
    </row>
    <row r="21" spans="1:15" x14ac:dyDescent="0.2">
      <c r="A21" s="189"/>
      <c r="B21" s="12"/>
      <c r="C21" s="21"/>
      <c r="D21" s="228" t="s">
        <v>146</v>
      </c>
      <c r="E21" s="226"/>
      <c r="F21" s="226"/>
      <c r="G21" s="226"/>
      <c r="H21" s="226"/>
      <c r="I21" s="226"/>
      <c r="J21" s="226"/>
      <c r="K21" s="226"/>
      <c r="L21" s="226"/>
      <c r="M21" s="22"/>
      <c r="N21" s="14"/>
      <c r="O21" s="189"/>
    </row>
    <row r="22" spans="1:15" x14ac:dyDescent="0.2">
      <c r="A22" s="189"/>
      <c r="B22" s="12"/>
      <c r="C22" s="21"/>
      <c r="D22" s="226"/>
      <c r="E22" s="226"/>
      <c r="F22" s="226"/>
      <c r="G22" s="226"/>
      <c r="H22" s="226"/>
      <c r="I22" s="226"/>
      <c r="J22" s="226"/>
      <c r="K22" s="226"/>
      <c r="L22" s="226"/>
      <c r="M22" s="22"/>
      <c r="N22" s="14"/>
      <c r="O22" s="189"/>
    </row>
    <row r="23" spans="1:15" x14ac:dyDescent="0.2">
      <c r="A23" s="189"/>
      <c r="B23" s="12"/>
      <c r="C23" s="21"/>
      <c r="D23" s="226"/>
      <c r="E23" s="226"/>
      <c r="F23" s="226"/>
      <c r="G23" s="226"/>
      <c r="H23" s="226"/>
      <c r="I23" s="226"/>
      <c r="J23" s="226"/>
      <c r="K23" s="226"/>
      <c r="L23" s="226"/>
      <c r="M23" s="22"/>
      <c r="N23" s="14"/>
      <c r="O23" s="189"/>
    </row>
    <row r="24" spans="1:15" x14ac:dyDescent="0.2">
      <c r="A24" s="189"/>
      <c r="B24" s="12"/>
      <c r="C24" s="21"/>
      <c r="D24" s="226"/>
      <c r="E24" s="226"/>
      <c r="F24" s="226"/>
      <c r="G24" s="226"/>
      <c r="H24" s="226"/>
      <c r="I24" s="226"/>
      <c r="J24" s="226"/>
      <c r="K24" s="226"/>
      <c r="L24" s="226"/>
      <c r="M24" s="22"/>
      <c r="N24" s="14"/>
      <c r="O24" s="189"/>
    </row>
    <row r="25" spans="1:15" ht="12.75" customHeight="1" x14ac:dyDescent="0.2">
      <c r="A25" s="189"/>
      <c r="B25" s="12"/>
      <c r="C25" s="21"/>
      <c r="D25" s="225" t="s">
        <v>342</v>
      </c>
      <c r="E25" s="226"/>
      <c r="F25" s="226"/>
      <c r="G25" s="226"/>
      <c r="H25" s="226"/>
      <c r="I25" s="226"/>
      <c r="J25" s="226"/>
      <c r="K25" s="226"/>
      <c r="L25" s="226"/>
      <c r="M25" s="22"/>
      <c r="N25" s="14"/>
      <c r="O25" s="189"/>
    </row>
    <row r="26" spans="1:15" ht="13.5" thickBot="1" x14ac:dyDescent="0.25">
      <c r="A26" s="189"/>
      <c r="B26" s="12"/>
      <c r="C26" s="23"/>
      <c r="D26" s="24"/>
      <c r="E26" s="24"/>
      <c r="F26" s="24"/>
      <c r="G26" s="24"/>
      <c r="H26" s="24"/>
      <c r="I26" s="24"/>
      <c r="J26" s="24"/>
      <c r="K26" s="24"/>
      <c r="L26" s="24"/>
      <c r="M26" s="25"/>
      <c r="N26" s="14"/>
      <c r="O26" s="189"/>
    </row>
    <row r="27" spans="1:15" x14ac:dyDescent="0.2">
      <c r="A27" s="189"/>
      <c r="B27" s="12"/>
      <c r="C27" s="13"/>
      <c r="D27" s="13"/>
      <c r="E27" s="13"/>
      <c r="F27" s="13"/>
      <c r="G27" s="13"/>
      <c r="H27" s="13"/>
      <c r="I27" s="13"/>
      <c r="J27" s="13"/>
      <c r="K27" s="13"/>
      <c r="L27" s="13"/>
      <c r="M27" s="13"/>
      <c r="N27" s="14"/>
      <c r="O27" s="189"/>
    </row>
    <row r="28" spans="1:15" ht="13.5" thickBot="1" x14ac:dyDescent="0.25">
      <c r="A28" s="189"/>
      <c r="B28" s="26"/>
      <c r="C28" s="27"/>
      <c r="D28" s="27"/>
      <c r="E28" s="27"/>
      <c r="F28" s="27"/>
      <c r="G28" s="27"/>
      <c r="H28" s="27"/>
      <c r="I28" s="27"/>
      <c r="J28" s="27"/>
      <c r="K28" s="27"/>
      <c r="L28" s="27"/>
      <c r="M28" s="27"/>
      <c r="N28" s="28"/>
      <c r="O28" s="189"/>
    </row>
    <row r="29" spans="1:15" ht="13.5" thickTop="1" x14ac:dyDescent="0.2">
      <c r="A29" s="189"/>
      <c r="B29" s="189"/>
      <c r="C29" s="189"/>
      <c r="D29" s="189"/>
      <c r="E29" s="189"/>
      <c r="F29" s="189"/>
      <c r="G29" s="189"/>
      <c r="H29" s="189"/>
      <c r="I29" s="189"/>
      <c r="J29" s="189"/>
      <c r="K29" s="189"/>
      <c r="L29" s="189"/>
      <c r="M29" s="189"/>
      <c r="N29" s="189"/>
      <c r="O29" s="189"/>
    </row>
    <row r="30" spans="1:15" x14ac:dyDescent="0.2">
      <c r="A30" s="189"/>
      <c r="B30" s="189"/>
      <c r="C30" s="189"/>
      <c r="D30" s="189"/>
      <c r="E30" s="189"/>
      <c r="F30" s="189"/>
      <c r="G30" s="189"/>
      <c r="H30" s="189"/>
      <c r="I30" s="189"/>
      <c r="J30" s="189"/>
      <c r="K30" s="189"/>
      <c r="L30" s="189"/>
      <c r="M30" s="189"/>
      <c r="N30" s="189"/>
      <c r="O30" s="189"/>
    </row>
    <row r="31" spans="1:15" hidden="1" x14ac:dyDescent="0.2"/>
  </sheetData>
  <sheetProtection sheet="1" objects="1" scenarios="1" selectLockedCells="1"/>
  <mergeCells count="10">
    <mergeCell ref="D25:L25"/>
    <mergeCell ref="C8:M9"/>
    <mergeCell ref="D21:L24"/>
    <mergeCell ref="C6:M6"/>
    <mergeCell ref="C11:M11"/>
    <mergeCell ref="C12:M12"/>
    <mergeCell ref="C13:M13"/>
    <mergeCell ref="C15:M15"/>
    <mergeCell ref="C17:M17"/>
    <mergeCell ref="D20:L20"/>
  </mergeCells>
  <phoneticPr fontId="2" type="noConversion"/>
  <hyperlinks>
    <hyperlink ref="D25" r:id="rId1"/>
  </hyperlinks>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197"/>
  <sheetViews>
    <sheetView tabSelected="1" zoomScale="85" zoomScaleNormal="85" workbookViewId="0">
      <selection activeCell="B3" sqref="B3"/>
    </sheetView>
  </sheetViews>
  <sheetFormatPr defaultColWidth="0" defaultRowHeight="12.75" zeroHeight="1" x14ac:dyDescent="0.2"/>
  <cols>
    <col min="1" max="1" width="72.28515625" style="113" bestFit="1" customWidth="1"/>
    <col min="2" max="2" width="18.7109375" style="103" bestFit="1" customWidth="1"/>
    <col min="3" max="3" width="9.7109375" style="103" bestFit="1" customWidth="1"/>
    <col min="4" max="4" width="12.85546875" style="103" bestFit="1" customWidth="1"/>
    <col min="5" max="5" width="21.7109375" style="122" bestFit="1" customWidth="1"/>
    <col min="6" max="6" width="42.7109375" style="103" customWidth="1"/>
    <col min="7" max="7" width="14.42578125" style="103" hidden="1" customWidth="1"/>
    <col min="8" max="8" width="13.42578125" style="103" hidden="1" customWidth="1"/>
    <col min="9" max="9" width="34.42578125" style="103" hidden="1" customWidth="1"/>
    <col min="10" max="10" width="9.140625" style="103" hidden="1" customWidth="1"/>
    <col min="11" max="11" width="12.5703125" style="103" hidden="1" customWidth="1"/>
    <col min="12" max="14" width="0" style="103" hidden="1" customWidth="1"/>
    <col min="15" max="16384" width="9.140625" style="103" hidden="1"/>
  </cols>
  <sheetData>
    <row r="1" spans="1:14" ht="22.5" customHeight="1" x14ac:dyDescent="0.2">
      <c r="A1" s="234" t="s">
        <v>284</v>
      </c>
      <c r="B1" s="234"/>
      <c r="C1" s="234"/>
      <c r="D1" s="234"/>
      <c r="E1" s="234"/>
      <c r="F1" s="170"/>
      <c r="H1" s="34"/>
      <c r="I1" s="105"/>
      <c r="J1" s="105"/>
      <c r="K1" s="105"/>
      <c r="L1" s="105"/>
      <c r="M1" s="105"/>
      <c r="N1" s="105"/>
    </row>
    <row r="2" spans="1:14" x14ac:dyDescent="0.2">
      <c r="A2" s="106"/>
      <c r="B2" s="107"/>
      <c r="C2" s="106"/>
      <c r="D2" s="108"/>
      <c r="E2" s="112" t="s">
        <v>122</v>
      </c>
      <c r="F2" s="105"/>
      <c r="H2" s="105"/>
      <c r="I2" s="110"/>
      <c r="J2" s="105"/>
      <c r="K2" s="105"/>
      <c r="L2" s="105"/>
      <c r="M2" s="105"/>
      <c r="N2" s="105"/>
    </row>
    <row r="3" spans="1:14" ht="12.75" customHeight="1" x14ac:dyDescent="0.25">
      <c r="A3" s="191" t="s">
        <v>157</v>
      </c>
      <c r="B3" s="111" t="s">
        <v>213</v>
      </c>
      <c r="E3" s="114" t="s">
        <v>19</v>
      </c>
      <c r="G3" s="105"/>
      <c r="H3" s="105"/>
      <c r="I3" s="105"/>
      <c r="J3" s="105"/>
      <c r="K3" s="105"/>
      <c r="L3" s="105"/>
      <c r="M3" s="105"/>
    </row>
    <row r="4" spans="1:14" x14ac:dyDescent="0.2">
      <c r="C4" s="105"/>
      <c r="E4" s="115" t="s">
        <v>20</v>
      </c>
      <c r="G4" s="105"/>
      <c r="H4" s="105"/>
      <c r="I4" s="105"/>
      <c r="J4" s="105"/>
      <c r="K4" s="105"/>
      <c r="L4" s="105"/>
      <c r="M4" s="105"/>
    </row>
    <row r="5" spans="1:14" ht="15.75" x14ac:dyDescent="0.25">
      <c r="A5" s="190" t="s">
        <v>156</v>
      </c>
      <c r="B5" s="3" t="s">
        <v>10</v>
      </c>
      <c r="C5" s="31" t="s">
        <v>9</v>
      </c>
      <c r="G5" s="3"/>
      <c r="H5" s="3"/>
      <c r="I5" s="105"/>
      <c r="J5" s="3"/>
      <c r="K5" s="3"/>
      <c r="L5" s="3"/>
      <c r="M5" s="105"/>
    </row>
    <row r="6" spans="1:14" x14ac:dyDescent="0.2">
      <c r="A6" s="113" t="s">
        <v>131</v>
      </c>
      <c r="B6" s="116">
        <v>12</v>
      </c>
      <c r="C6" s="117" t="s">
        <v>5</v>
      </c>
      <c r="E6" s="103"/>
      <c r="G6" s="3"/>
      <c r="H6" s="3"/>
      <c r="I6" s="105"/>
      <c r="J6" s="3"/>
      <c r="K6" s="3"/>
      <c r="L6" s="3"/>
      <c r="M6" s="105"/>
    </row>
    <row r="7" spans="1:14" x14ac:dyDescent="0.2">
      <c r="A7" s="113" t="s">
        <v>132</v>
      </c>
      <c r="B7" s="116">
        <f>Vin_nom*1.05</f>
        <v>12.600000000000001</v>
      </c>
      <c r="C7" s="117" t="s">
        <v>5</v>
      </c>
      <c r="E7" s="3" t="s">
        <v>117</v>
      </c>
      <c r="F7" s="1"/>
      <c r="G7" s="3"/>
      <c r="H7" s="3"/>
      <c r="I7" s="105"/>
      <c r="J7" s="3"/>
      <c r="K7" s="3"/>
      <c r="L7" s="3"/>
      <c r="M7" s="105"/>
    </row>
    <row r="8" spans="1:14" x14ac:dyDescent="0.2">
      <c r="A8" s="113" t="s">
        <v>133</v>
      </c>
      <c r="B8" s="116">
        <f>0.8*Vin_nom</f>
        <v>9.6000000000000014</v>
      </c>
      <c r="C8" s="117" t="s">
        <v>5</v>
      </c>
      <c r="E8" s="103" t="str">
        <f>partdata!A2</f>
        <v>TPS54020 (ILIM=499kΩ)</v>
      </c>
      <c r="G8" s="105"/>
      <c r="H8" s="110"/>
      <c r="I8" s="105"/>
      <c r="J8" s="105"/>
      <c r="K8" s="105"/>
      <c r="L8" s="105"/>
      <c r="M8" s="105"/>
    </row>
    <row r="9" spans="1:14" x14ac:dyDescent="0.2">
      <c r="A9" s="113" t="s">
        <v>161</v>
      </c>
      <c r="B9" s="116">
        <v>1.8</v>
      </c>
      <c r="C9" s="117" t="s">
        <v>5</v>
      </c>
      <c r="E9" s="103" t="str">
        <f>partdata!A3</f>
        <v>TPS54020 (ILIM=NC)</v>
      </c>
      <c r="G9" s="105"/>
      <c r="H9" s="118"/>
      <c r="I9" s="119"/>
      <c r="J9" s="119"/>
      <c r="K9" s="105"/>
      <c r="L9" s="105"/>
      <c r="M9" s="105"/>
    </row>
    <row r="10" spans="1:14" x14ac:dyDescent="0.2">
      <c r="A10" s="113" t="s">
        <v>162</v>
      </c>
      <c r="B10" s="95">
        <f>0.005*Vout</f>
        <v>9.0000000000000011E-3</v>
      </c>
      <c r="C10" s="117" t="s">
        <v>5</v>
      </c>
      <c r="E10" s="103" t="str">
        <f>partdata!A4</f>
        <v>TPS54020 (ILIM=RTN)</v>
      </c>
      <c r="G10" s="105"/>
      <c r="H10" s="105"/>
      <c r="I10" s="105"/>
      <c r="J10" s="105"/>
      <c r="K10" s="105"/>
      <c r="L10" s="105"/>
      <c r="M10" s="105"/>
    </row>
    <row r="11" spans="1:14" x14ac:dyDescent="0.2">
      <c r="A11" s="113" t="s">
        <v>266</v>
      </c>
      <c r="B11" s="120">
        <v>4</v>
      </c>
      <c r="C11" s="117" t="s">
        <v>6</v>
      </c>
      <c r="E11" s="103" t="str">
        <f>partdata!A6</f>
        <v>TPS54320</v>
      </c>
      <c r="G11" s="105"/>
      <c r="H11" s="110"/>
      <c r="I11" s="105"/>
      <c r="J11" s="105"/>
      <c r="K11" s="105"/>
      <c r="L11" s="105"/>
      <c r="M11" s="105"/>
    </row>
    <row r="12" spans="1:14" x14ac:dyDescent="0.2">
      <c r="A12" s="113" t="s">
        <v>267</v>
      </c>
      <c r="B12" s="95">
        <f>Vout*dV_percent/100</f>
        <v>7.2000000000000008E-2</v>
      </c>
      <c r="C12" s="117" t="s">
        <v>5</v>
      </c>
      <c r="D12" s="121"/>
      <c r="E12" s="103" t="str">
        <f>partdata!A7</f>
        <v>TPS54418</v>
      </c>
      <c r="G12" s="105"/>
      <c r="H12" s="110"/>
      <c r="I12" s="105"/>
      <c r="J12" s="105"/>
      <c r="K12" s="105"/>
      <c r="L12" s="105"/>
      <c r="M12" s="105"/>
    </row>
    <row r="13" spans="1:14" x14ac:dyDescent="0.2">
      <c r="A13" s="113" t="s">
        <v>163</v>
      </c>
      <c r="B13" s="137">
        <f>Iout/2</f>
        <v>4</v>
      </c>
      <c r="C13" s="117" t="s">
        <v>4</v>
      </c>
      <c r="D13" s="121"/>
      <c r="E13" s="103" t="str">
        <f>partdata!A8</f>
        <v>TPS54424</v>
      </c>
      <c r="G13" s="105"/>
      <c r="H13" s="123"/>
      <c r="I13" s="105"/>
      <c r="J13" s="105"/>
      <c r="K13" s="105"/>
      <c r="L13" s="105"/>
      <c r="M13" s="105"/>
    </row>
    <row r="14" spans="1:14" x14ac:dyDescent="0.2">
      <c r="A14" s="113" t="s">
        <v>164</v>
      </c>
      <c r="B14" s="137">
        <v>8</v>
      </c>
      <c r="C14" s="117" t="s">
        <v>4</v>
      </c>
      <c r="D14" s="121"/>
      <c r="E14" s="103" t="str">
        <f>partdata!A9</f>
        <v>TPS54478</v>
      </c>
      <c r="G14" s="105"/>
      <c r="H14" s="123"/>
      <c r="I14" s="105"/>
      <c r="J14" s="105"/>
      <c r="K14" s="105"/>
      <c r="L14" s="105"/>
      <c r="M14" s="105"/>
    </row>
    <row r="15" spans="1:14" x14ac:dyDescent="0.2">
      <c r="A15" s="113" t="s">
        <v>165</v>
      </c>
      <c r="B15" s="120">
        <v>0.1</v>
      </c>
      <c r="C15" s="117" t="s">
        <v>4</v>
      </c>
      <c r="D15" s="122"/>
      <c r="E15" s="103" t="str">
        <f>partdata!A10</f>
        <v>TPS54521</v>
      </c>
      <c r="G15" s="105"/>
      <c r="H15" s="110"/>
      <c r="I15" s="105"/>
      <c r="J15" s="105"/>
      <c r="K15" s="105"/>
      <c r="L15" s="105"/>
      <c r="M15" s="105"/>
    </row>
    <row r="16" spans="1:14" x14ac:dyDescent="0.2">
      <c r="A16" s="113" t="s">
        <v>166</v>
      </c>
      <c r="B16" s="116">
        <v>4.3</v>
      </c>
      <c r="C16" s="117" t="s">
        <v>5</v>
      </c>
      <c r="D16" s="122"/>
      <c r="E16" s="103" t="str">
        <f>partdata!A11</f>
        <v>TPS54620</v>
      </c>
      <c r="G16" s="105"/>
      <c r="H16" s="110"/>
      <c r="I16" s="105"/>
      <c r="J16" s="105"/>
      <c r="K16" s="105"/>
      <c r="L16" s="105"/>
      <c r="M16" s="105"/>
    </row>
    <row r="17" spans="1:14" x14ac:dyDescent="0.2">
      <c r="A17" s="113" t="s">
        <v>167</v>
      </c>
      <c r="B17" s="116">
        <v>4</v>
      </c>
      <c r="C17" s="117" t="s">
        <v>5</v>
      </c>
      <c r="D17" s="122"/>
      <c r="E17" s="103" t="str">
        <f>partdata!A12</f>
        <v>TPS54622</v>
      </c>
      <c r="G17" s="105"/>
      <c r="H17" s="110"/>
      <c r="I17" s="105"/>
      <c r="J17" s="105"/>
      <c r="K17" s="105"/>
      <c r="L17" s="105"/>
      <c r="M17" s="105"/>
    </row>
    <row r="18" spans="1:14" x14ac:dyDescent="0.2">
      <c r="A18" s="113" t="s">
        <v>43</v>
      </c>
      <c r="B18" s="124">
        <v>700</v>
      </c>
      <c r="C18" s="117" t="s">
        <v>14</v>
      </c>
      <c r="D18" s="122"/>
      <c r="E18" s="103" t="str">
        <f>partdata!A13</f>
        <v>TPS54623</v>
      </c>
      <c r="G18" s="105"/>
      <c r="H18" s="110"/>
      <c r="I18" s="105"/>
      <c r="J18" s="105"/>
      <c r="K18" s="105"/>
      <c r="L18" s="105"/>
      <c r="M18" s="105"/>
    </row>
    <row r="19" spans="1:14" x14ac:dyDescent="0.2">
      <c r="A19" s="106"/>
      <c r="B19" s="107"/>
      <c r="C19" s="106"/>
      <c r="E19" s="103" t="str">
        <f>partdata!A14</f>
        <v>TPS54678</v>
      </c>
      <c r="F19" s="3"/>
      <c r="H19" s="105"/>
      <c r="I19" s="110"/>
      <c r="J19" s="105"/>
      <c r="K19" s="105"/>
      <c r="L19" s="105"/>
      <c r="M19" s="105"/>
      <c r="N19" s="105"/>
    </row>
    <row r="20" spans="1:14" ht="15.75" x14ac:dyDescent="0.25">
      <c r="A20" s="190" t="s">
        <v>258</v>
      </c>
      <c r="D20" s="108"/>
      <c r="E20" s="103" t="str">
        <f>partdata!A15</f>
        <v>TPS54821</v>
      </c>
      <c r="F20" s="105"/>
      <c r="H20" s="105"/>
      <c r="I20" s="110"/>
      <c r="J20" s="105"/>
      <c r="K20" s="105"/>
      <c r="L20" s="105"/>
      <c r="M20" s="105"/>
      <c r="N20" s="105"/>
    </row>
    <row r="21" spans="1:14" ht="15" x14ac:dyDescent="0.25">
      <c r="A21" s="92"/>
      <c r="D21" s="108"/>
      <c r="E21" s="103" t="str">
        <f>partdata!A16</f>
        <v>TPS54824</v>
      </c>
      <c r="F21" s="105"/>
      <c r="H21" s="105"/>
      <c r="I21" s="110"/>
      <c r="J21" s="105"/>
      <c r="K21" s="105"/>
      <c r="L21" s="105"/>
      <c r="M21" s="105"/>
      <c r="N21" s="105"/>
    </row>
    <row r="22" spans="1:14" x14ac:dyDescent="0.2">
      <c r="A22" s="126"/>
      <c r="B22" s="127"/>
      <c r="C22" s="127"/>
      <c r="E22" s="103" t="str">
        <f>partdata!A17</f>
        <v>TPS54A24</v>
      </c>
      <c r="F22" s="105"/>
      <c r="G22" s="105"/>
      <c r="H22" s="105"/>
      <c r="I22" s="105"/>
      <c r="J22" s="105"/>
      <c r="K22" s="105"/>
      <c r="L22" s="105"/>
      <c r="M22" s="3"/>
      <c r="N22" s="105"/>
    </row>
    <row r="23" spans="1:14" x14ac:dyDescent="0.2">
      <c r="D23" s="127"/>
      <c r="E23" s="103"/>
      <c r="F23" s="105"/>
      <c r="G23" s="105"/>
      <c r="H23" s="105"/>
      <c r="I23" s="105"/>
      <c r="J23" s="105"/>
      <c r="K23" s="105"/>
      <c r="L23" s="105"/>
      <c r="M23" s="3"/>
      <c r="N23" s="105"/>
    </row>
    <row r="24" spans="1:14" x14ac:dyDescent="0.2">
      <c r="F24" s="105"/>
      <c r="G24" s="105"/>
      <c r="H24" s="105"/>
      <c r="I24" s="105"/>
      <c r="J24" s="105"/>
      <c r="K24" s="105"/>
      <c r="L24" s="105"/>
      <c r="M24" s="3"/>
      <c r="N24" s="105"/>
    </row>
    <row r="25" spans="1:14" x14ac:dyDescent="0.2">
      <c r="G25" s="105"/>
      <c r="H25" s="105"/>
      <c r="I25" s="105"/>
      <c r="J25" s="105"/>
      <c r="K25" s="105"/>
      <c r="L25" s="105"/>
      <c r="M25" s="3"/>
      <c r="N25" s="105"/>
    </row>
    <row r="26" spans="1:14" x14ac:dyDescent="0.2">
      <c r="H26" s="105"/>
    </row>
    <row r="27" spans="1:14" x14ac:dyDescent="0.2">
      <c r="H27" s="105"/>
    </row>
    <row r="28" spans="1:14" x14ac:dyDescent="0.2">
      <c r="F28" s="104"/>
    </row>
    <row r="29" spans="1:14" x14ac:dyDescent="0.2">
      <c r="F29" s="30"/>
      <c r="G29" s="123"/>
    </row>
    <row r="30" spans="1:14" x14ac:dyDescent="0.2">
      <c r="G30" s="123"/>
    </row>
    <row r="31" spans="1:14" x14ac:dyDescent="0.2">
      <c r="G31" s="123"/>
    </row>
    <row r="32" spans="1:14" x14ac:dyDescent="0.2">
      <c r="G32" s="105"/>
    </row>
    <row r="33" spans="1:7" x14ac:dyDescent="0.2">
      <c r="G33" s="105"/>
    </row>
    <row r="34" spans="1:7" x14ac:dyDescent="0.2"/>
    <row r="35" spans="1:7" x14ac:dyDescent="0.2"/>
    <row r="36" spans="1:7" x14ac:dyDescent="0.2"/>
    <row r="37" spans="1:7" x14ac:dyDescent="0.2"/>
    <row r="38" spans="1:7" x14ac:dyDescent="0.2"/>
    <row r="39" spans="1:7" x14ac:dyDescent="0.2"/>
    <row r="40" spans="1:7" x14ac:dyDescent="0.2"/>
    <row r="41" spans="1:7" x14ac:dyDescent="0.2"/>
    <row r="42" spans="1:7" x14ac:dyDescent="0.2"/>
    <row r="43" spans="1:7" x14ac:dyDescent="0.2"/>
    <row r="44" spans="1:7" x14ac:dyDescent="0.2"/>
    <row r="45" spans="1:7" x14ac:dyDescent="0.2"/>
    <row r="46" spans="1:7" x14ac:dyDescent="0.2"/>
    <row r="47" spans="1:7" x14ac:dyDescent="0.2"/>
    <row r="48" spans="1:7" ht="15.75" x14ac:dyDescent="0.25">
      <c r="A48" s="190" t="s">
        <v>155</v>
      </c>
      <c r="B48" s="3" t="s">
        <v>10</v>
      </c>
      <c r="C48" s="105"/>
      <c r="E48" s="31" t="s">
        <v>9</v>
      </c>
      <c r="F48" s="1" t="s">
        <v>263</v>
      </c>
    </row>
    <row r="49" spans="1:14" x14ac:dyDescent="0.2">
      <c r="A49" s="93" t="s">
        <v>30</v>
      </c>
      <c r="B49" s="8">
        <f>IF((1/ton_min)*(Vout)/(Vin_max)*1/1.1&gt;=fsw_max,fsw_max,(1/ton_min)*(Vout)/(Vin_max)*1/1.1)/1000</f>
        <v>962.00096200096175</v>
      </c>
      <c r="C49" s="105"/>
      <c r="D49" s="105"/>
      <c r="E49" s="117" t="s">
        <v>14</v>
      </c>
      <c r="F49" s="105"/>
    </row>
    <row r="50" spans="1:14" x14ac:dyDescent="0.2">
      <c r="A50" s="113" t="s">
        <v>43</v>
      </c>
      <c r="B50" s="124">
        <f>B18</f>
        <v>700</v>
      </c>
      <c r="D50" s="105"/>
      <c r="E50" s="117" t="s">
        <v>14</v>
      </c>
      <c r="F50" s="3"/>
    </row>
    <row r="51" spans="1:14" x14ac:dyDescent="0.2">
      <c r="A51" s="113" t="s">
        <v>179</v>
      </c>
      <c r="B51" s="128">
        <f>LOOKUP(B$3,partdata!A2:A20,partdata!AA2:AA20)</f>
        <v>67.932409419235967</v>
      </c>
      <c r="C51" s="97">
        <f>(IF((10^(LOG(B51)-INT(LOG(B51)))*100)-VLOOKUP((10^(LOG(B51)-INT(LOG(B51)))*100),E96_s:E96_f,1)&lt;VLOOKUP((10^(LOG(B51)-INT(LOG(B51)))*100),E96_s:E96_f,2)-(10^(LOG(B51)-INT(LOG(B51)))*100),VLOOKUP((10^(LOG(B51)-INT(LOG(B51)))*100),E96_s:E96_f,1),VLOOKUP((10^(LOG(B51)-INT(LOG(B51)))*100),E96_s:E96_f,2)))*10^INT(LOG(B51))/100</f>
        <v>68.099999999999994</v>
      </c>
      <c r="E51" s="117" t="s">
        <v>110</v>
      </c>
      <c r="F51" s="105"/>
      <c r="H51" s="105"/>
      <c r="I51" s="110"/>
      <c r="J51" s="105"/>
      <c r="K51" s="105"/>
      <c r="L51" s="105"/>
      <c r="M51" s="105"/>
      <c r="N51" s="105"/>
    </row>
    <row r="52" spans="1:14" x14ac:dyDescent="0.2">
      <c r="A52" s="113" t="s">
        <v>13</v>
      </c>
      <c r="B52" s="100">
        <f>C51</f>
        <v>68.099999999999994</v>
      </c>
      <c r="D52" s="105"/>
      <c r="E52" s="117" t="s">
        <v>110</v>
      </c>
      <c r="F52" s="129"/>
    </row>
    <row r="53" spans="1:14" x14ac:dyDescent="0.2">
      <c r="A53" s="113" t="s">
        <v>178</v>
      </c>
      <c r="B53" s="130">
        <f>LOOKUP(B$3,partdata!A2:A20,partdata!AB2:AB20)</f>
        <v>720.50797265285814</v>
      </c>
      <c r="E53" s="117" t="s">
        <v>14</v>
      </c>
      <c r="F53" s="129"/>
    </row>
    <row r="54" spans="1:14" x14ac:dyDescent="0.2">
      <c r="A54" s="113" t="s">
        <v>278</v>
      </c>
      <c r="B54" s="130">
        <f>1/(B50*1000)*(Iout*(Rdc+Rdson_ls)+Vout)/(Vin_max-Iout*(Rdson_hs-Rdson_ls))*10^9</f>
        <v>227.7696793002915</v>
      </c>
      <c r="E54" s="131" t="s">
        <v>134</v>
      </c>
      <c r="F54" s="105"/>
    </row>
    <row r="55" spans="1:14" x14ac:dyDescent="0.2">
      <c r="A55" s="113" t="s">
        <v>277</v>
      </c>
      <c r="B55" s="130">
        <f>1/(B50*1000)*(Iout_min*(Rdc+Rdson_ls)+Vout)/(Vin_max-Iout_min*(Rdson_hs-Rdson_ls))*10^9</f>
        <v>204.37643361139109</v>
      </c>
      <c r="D55" s="105"/>
      <c r="E55" s="131" t="s">
        <v>134</v>
      </c>
      <c r="F55" s="105"/>
    </row>
    <row r="56" spans="1:14" x14ac:dyDescent="0.2">
      <c r="A56" s="113" t="s">
        <v>209</v>
      </c>
      <c r="B56" s="130">
        <f>1/(B50*1000)*(Vout)/(Vin_max)*10^9</f>
        <v>204.08163265306121</v>
      </c>
      <c r="D56" s="105"/>
      <c r="E56" s="131" t="s">
        <v>134</v>
      </c>
      <c r="F56" s="105"/>
    </row>
    <row r="57" spans="1:14" x14ac:dyDescent="0.2">
      <c r="D57" s="105"/>
      <c r="E57" s="131"/>
      <c r="F57" s="105"/>
    </row>
    <row r="58" spans="1:14" ht="15.75" x14ac:dyDescent="0.25">
      <c r="A58" s="190" t="s">
        <v>154</v>
      </c>
      <c r="B58" s="3" t="s">
        <v>10</v>
      </c>
      <c r="D58" s="105"/>
      <c r="E58" s="31" t="s">
        <v>9</v>
      </c>
      <c r="F58" s="1"/>
    </row>
    <row r="59" spans="1:14" x14ac:dyDescent="0.2">
      <c r="A59" s="113" t="s">
        <v>264</v>
      </c>
      <c r="B59" s="116">
        <v>0.2</v>
      </c>
      <c r="D59" s="105"/>
      <c r="F59" s="134" t="s">
        <v>259</v>
      </c>
      <c r="G59" s="104"/>
    </row>
    <row r="60" spans="1:14" x14ac:dyDescent="0.2">
      <c r="A60" s="113" t="s">
        <v>260</v>
      </c>
      <c r="B60" s="132">
        <f>((Vin_max-Vout)/(Iout*Kind))*(Vout/(Vin_max*fsw))*10^6</f>
        <v>1.3775510204081631</v>
      </c>
      <c r="C60" s="133"/>
      <c r="E60" s="117" t="s">
        <v>135</v>
      </c>
      <c r="F60" s="134"/>
    </row>
    <row r="61" spans="1:14" x14ac:dyDescent="0.2">
      <c r="A61" s="113" t="s">
        <v>265</v>
      </c>
      <c r="B61" s="132">
        <f>((Vin_max-Vout)/(Io_dev*0.1))*(Vout/(Vin_max*fsw))*10^6</f>
        <v>3.6734693877551017</v>
      </c>
      <c r="C61" s="133"/>
      <c r="E61" s="117" t="s">
        <v>135</v>
      </c>
      <c r="F61" s="134"/>
    </row>
    <row r="62" spans="1:14" x14ac:dyDescent="0.2">
      <c r="A62" s="113" t="s">
        <v>8</v>
      </c>
      <c r="B62" s="101">
        <f>B60</f>
        <v>1.3775510204081631</v>
      </c>
      <c r="C62" s="135"/>
      <c r="E62" s="117" t="s">
        <v>135</v>
      </c>
      <c r="F62" s="105"/>
    </row>
    <row r="63" spans="1:14" x14ac:dyDescent="0.2">
      <c r="A63" s="113" t="s">
        <v>17</v>
      </c>
      <c r="B63" s="137">
        <v>6</v>
      </c>
      <c r="C63" s="105"/>
      <c r="D63" s="123"/>
      <c r="E63" s="131" t="s">
        <v>129</v>
      </c>
      <c r="F63" s="105"/>
      <c r="G63" s="136"/>
    </row>
    <row r="64" spans="1:14" x14ac:dyDescent="0.2">
      <c r="A64" s="113" t="s">
        <v>170</v>
      </c>
      <c r="B64" s="138">
        <f>Vout*(Vin_max-Vout)/(Vin_max*L*fsw)</f>
        <v>1.6</v>
      </c>
      <c r="C64" s="138">
        <f>Vout*(Vin_nom-Vout)/(Vin_nom*L*fsw)</f>
        <v>1.5866666666666669</v>
      </c>
      <c r="D64" s="138">
        <f>Vout*(Vin_min-Vout)/(Vin_min*L*fsw)</f>
        <v>1.5166666666666668</v>
      </c>
      <c r="E64" s="131" t="s">
        <v>4</v>
      </c>
      <c r="F64" s="105"/>
    </row>
    <row r="65" spans="1:14" x14ac:dyDescent="0.2">
      <c r="A65" s="113" t="s">
        <v>171</v>
      </c>
      <c r="B65" s="138">
        <f>(Iout^2+((1/12)*(Vout*(Vin_max-Vout))/(Vin_max*fsw*L))^2)^0.5</f>
        <v>8.0011110339613332</v>
      </c>
      <c r="C65" s="138">
        <f>(Iout^2+((1/12)*(Vout*(Vin_nom-Vout))/(Vin_nom*fsw*L))^2)^0.5</f>
        <v>8.0010925951428273</v>
      </c>
      <c r="D65" s="138">
        <f>(Iout^2+((1/12)*(Vout*(Vin_min-Vout))/(Vin_min*fsw*L))^2)^0.5</f>
        <v>8.0009983221617151</v>
      </c>
      <c r="E65" s="131" t="s">
        <v>4</v>
      </c>
      <c r="F65" s="105"/>
      <c r="G65" s="1"/>
      <c r="H65" s="1"/>
      <c r="I65" s="1"/>
      <c r="J65" s="1"/>
      <c r="K65" s="1"/>
    </row>
    <row r="66" spans="1:14" x14ac:dyDescent="0.2">
      <c r="A66" s="113" t="s">
        <v>172</v>
      </c>
      <c r="B66" s="138">
        <f>B65+Iripple/2</f>
        <v>8.8011110339613339</v>
      </c>
      <c r="C66" s="138">
        <f>C65+C64/2</f>
        <v>8.7944259284761603</v>
      </c>
      <c r="D66" s="138">
        <f>D65+D64/2</f>
        <v>8.759331655495048</v>
      </c>
      <c r="E66" s="131" t="s">
        <v>4</v>
      </c>
      <c r="F66" s="105"/>
    </row>
    <row r="67" spans="1:14" x14ac:dyDescent="0.2">
      <c r="A67" s="113" t="s">
        <v>194</v>
      </c>
      <c r="B67" s="138">
        <f>-Iripple/2</f>
        <v>-0.8</v>
      </c>
      <c r="C67" s="138">
        <f>-C64/2</f>
        <v>-0.79333333333333345</v>
      </c>
      <c r="D67" s="138">
        <f>-D64/2</f>
        <v>-0.75833333333333341</v>
      </c>
      <c r="E67" s="131" t="s">
        <v>4</v>
      </c>
      <c r="F67" s="105"/>
      <c r="G67" s="1"/>
      <c r="H67" s="1"/>
      <c r="I67" s="1"/>
      <c r="J67" s="1"/>
    </row>
    <row r="68" spans="1:14" x14ac:dyDescent="0.2">
      <c r="A68" s="113" t="s">
        <v>193</v>
      </c>
      <c r="B68" s="138">
        <f>Vout*(1-Vout/Vin_max)/(2*L*fsw)</f>
        <v>0.80000000000000016</v>
      </c>
      <c r="C68" s="138">
        <f>Vout*(1-Vout/Vin_nom)/(2*L*fsw)</f>
        <v>0.79333333333333345</v>
      </c>
      <c r="D68" s="138">
        <f>Vout*(1-Vout/Vin_min)/(2*L*fsw)</f>
        <v>0.75833333333333353</v>
      </c>
      <c r="E68" s="131" t="s">
        <v>4</v>
      </c>
      <c r="F68" s="105"/>
    </row>
    <row r="69" spans="1:14" x14ac:dyDescent="0.2">
      <c r="E69" s="131"/>
      <c r="F69" s="1"/>
    </row>
    <row r="70" spans="1:14" ht="15.75" x14ac:dyDescent="0.25">
      <c r="A70" s="190" t="s">
        <v>153</v>
      </c>
      <c r="B70" s="3" t="s">
        <v>10</v>
      </c>
      <c r="E70" s="31" t="s">
        <v>9</v>
      </c>
      <c r="F70" s="105"/>
      <c r="G70" s="105"/>
      <c r="H70" s="3"/>
      <c r="I70" s="3"/>
      <c r="J70" s="105"/>
      <c r="K70" s="105"/>
      <c r="L70" s="31"/>
      <c r="M70" s="3"/>
      <c r="N70" s="105"/>
    </row>
    <row r="71" spans="1:14" x14ac:dyDescent="0.2">
      <c r="A71" s="113" t="s">
        <v>21</v>
      </c>
      <c r="B71" s="139">
        <f>Vout*(Vin_max-Vout)/(12^0.5*Vin_max*L*fsw)</f>
        <v>0.46188021535170065</v>
      </c>
      <c r="C71" s="140"/>
      <c r="D71" s="105"/>
      <c r="E71" s="117" t="s">
        <v>4</v>
      </c>
      <c r="F71" s="105"/>
      <c r="G71" s="105"/>
      <c r="H71" s="105"/>
      <c r="I71" s="35"/>
      <c r="J71" s="125"/>
      <c r="K71" s="105"/>
      <c r="L71" s="105"/>
      <c r="M71" s="105"/>
      <c r="N71" s="105"/>
    </row>
    <row r="72" spans="1:14" x14ac:dyDescent="0.2">
      <c r="A72" s="113" t="s">
        <v>289</v>
      </c>
      <c r="B72" s="130">
        <f>MIN(fsw/10,100000)/1000</f>
        <v>70</v>
      </c>
      <c r="C72" s="140"/>
      <c r="D72" s="140"/>
      <c r="E72" s="117" t="s">
        <v>14</v>
      </c>
      <c r="F72" s="105"/>
      <c r="G72" s="105"/>
      <c r="H72" s="105"/>
      <c r="I72" s="35"/>
      <c r="J72" s="105"/>
      <c r="K72" s="105"/>
      <c r="L72" s="105"/>
      <c r="M72" s="105"/>
      <c r="N72" s="105"/>
    </row>
    <row r="73" spans="1:14" x14ac:dyDescent="0.2">
      <c r="A73" s="113" t="s">
        <v>290</v>
      </c>
      <c r="B73" s="128">
        <f>dI/(2*PI()*fco_est*dV)*10^6</f>
        <v>126.31344689832962</v>
      </c>
      <c r="C73" s="125"/>
      <c r="D73" s="140"/>
      <c r="E73" s="117" t="s">
        <v>128</v>
      </c>
      <c r="F73" s="105"/>
      <c r="G73" s="105"/>
      <c r="H73" s="105"/>
      <c r="I73" s="35"/>
      <c r="J73" s="105"/>
      <c r="K73" s="105"/>
      <c r="L73" s="105"/>
      <c r="M73" s="105"/>
      <c r="N73" s="105"/>
    </row>
    <row r="74" spans="1:14" x14ac:dyDescent="0.2">
      <c r="A74" s="113" t="s">
        <v>291</v>
      </c>
      <c r="B74" s="128">
        <f>1/(8*fsw*(Vripple/Iripple))*10^6</f>
        <v>31.746031746031743</v>
      </c>
      <c r="C74" s="110"/>
      <c r="D74" s="105"/>
      <c r="E74" s="117" t="s">
        <v>128</v>
      </c>
      <c r="F74" s="105"/>
      <c r="G74" s="105"/>
      <c r="H74" s="105"/>
      <c r="I74" s="35"/>
      <c r="J74" s="105"/>
      <c r="K74" s="105"/>
      <c r="L74" s="105"/>
      <c r="M74" s="123"/>
      <c r="N74" s="105"/>
    </row>
    <row r="75" spans="1:14" x14ac:dyDescent="0.2">
      <c r="A75" s="113" t="s">
        <v>363</v>
      </c>
      <c r="B75" s="128">
        <f>(15/(PI()*fsw))^2*1/L*1000000</f>
        <v>33.773727880779269</v>
      </c>
      <c r="C75" s="110"/>
      <c r="D75" s="105"/>
      <c r="E75" s="117" t="s">
        <v>128</v>
      </c>
      <c r="F75" s="105"/>
      <c r="G75" s="105"/>
      <c r="H75" s="105"/>
      <c r="I75" s="35"/>
      <c r="J75" s="105"/>
      <c r="K75" s="105"/>
      <c r="L75" s="105"/>
      <c r="M75" s="123"/>
      <c r="N75" s="105"/>
    </row>
    <row r="76" spans="1:14" x14ac:dyDescent="0.2">
      <c r="A76" s="113" t="s">
        <v>235</v>
      </c>
      <c r="B76" s="141">
        <v>0.5</v>
      </c>
      <c r="C76" s="110"/>
      <c r="D76" s="105"/>
      <c r="E76" s="117"/>
      <c r="F76" s="105" t="s">
        <v>236</v>
      </c>
      <c r="G76" s="105"/>
      <c r="H76" s="105"/>
      <c r="I76" s="105"/>
      <c r="J76" s="105"/>
      <c r="K76" s="105"/>
      <c r="L76" s="140"/>
      <c r="M76" s="105"/>
      <c r="N76" s="105"/>
    </row>
    <row r="77" spans="1:14" x14ac:dyDescent="0.2">
      <c r="A77" s="113" t="s">
        <v>321</v>
      </c>
      <c r="B77" s="100">
        <f>4*100</f>
        <v>400</v>
      </c>
      <c r="C77" s="110"/>
      <c r="D77" s="105"/>
      <c r="E77" s="117" t="s">
        <v>128</v>
      </c>
      <c r="G77" s="105"/>
      <c r="H77" s="105"/>
      <c r="I77" s="105"/>
      <c r="J77" s="105"/>
      <c r="K77" s="105"/>
      <c r="L77" s="140"/>
      <c r="M77" s="105"/>
      <c r="N77" s="105"/>
    </row>
    <row r="78" spans="1:14" x14ac:dyDescent="0.2">
      <c r="A78" s="113" t="s">
        <v>322</v>
      </c>
      <c r="B78" s="128">
        <f>Co_derating*Co_selected</f>
        <v>200</v>
      </c>
      <c r="C78" s="142"/>
      <c r="D78" s="105"/>
      <c r="E78" s="117" t="s">
        <v>128</v>
      </c>
      <c r="F78" s="105"/>
      <c r="G78" s="105"/>
      <c r="H78" s="3"/>
      <c r="I78" s="3"/>
      <c r="J78" s="105"/>
      <c r="K78" s="105"/>
      <c r="L78" s="3"/>
      <c r="M78" s="105"/>
      <c r="N78" s="105"/>
    </row>
    <row r="79" spans="1:14" x14ac:dyDescent="0.2">
      <c r="A79" s="113" t="s">
        <v>7</v>
      </c>
      <c r="B79" s="139">
        <f>Vripple/Iripple</f>
        <v>5.6250000000000007E-3</v>
      </c>
      <c r="D79" s="105"/>
      <c r="E79" s="117" t="s">
        <v>109</v>
      </c>
      <c r="F79" s="105"/>
      <c r="G79" s="105"/>
      <c r="H79" s="105"/>
      <c r="I79" s="110"/>
      <c r="J79" s="105"/>
      <c r="K79" s="105"/>
      <c r="L79" s="105"/>
      <c r="M79" s="143"/>
      <c r="N79" s="105"/>
    </row>
    <row r="80" spans="1:14" x14ac:dyDescent="0.2">
      <c r="A80" s="113" t="s">
        <v>323</v>
      </c>
      <c r="B80" s="95">
        <v>2E-3</v>
      </c>
      <c r="D80" s="105"/>
      <c r="E80" s="117" t="s">
        <v>109</v>
      </c>
      <c r="F80" s="105"/>
      <c r="G80" s="110"/>
      <c r="H80" s="105"/>
      <c r="I80" s="110"/>
      <c r="J80" s="110"/>
      <c r="K80" s="110"/>
      <c r="L80" s="105"/>
      <c r="M80" s="143"/>
      <c r="N80" s="105"/>
    </row>
    <row r="81" spans="1:14" x14ac:dyDescent="0.2">
      <c r="A81" s="113" t="s">
        <v>325</v>
      </c>
      <c r="B81" s="100">
        <v>0.1</v>
      </c>
      <c r="D81" s="105"/>
      <c r="E81" s="117" t="s">
        <v>128</v>
      </c>
      <c r="F81" s="105"/>
      <c r="G81" s="110"/>
      <c r="H81" s="105"/>
      <c r="I81" s="110"/>
      <c r="J81" s="110"/>
      <c r="K81" s="110"/>
      <c r="L81" s="105"/>
      <c r="M81" s="143"/>
      <c r="N81" s="105"/>
    </row>
    <row r="82" spans="1:14" x14ac:dyDescent="0.2">
      <c r="A82" s="113" t="s">
        <v>324</v>
      </c>
      <c r="B82" s="95">
        <f>0.025*1.5</f>
        <v>3.7500000000000006E-2</v>
      </c>
      <c r="D82" s="105"/>
      <c r="E82" s="117" t="s">
        <v>109</v>
      </c>
      <c r="F82" s="105"/>
      <c r="G82" s="110"/>
      <c r="H82" s="105"/>
      <c r="I82" s="110"/>
      <c r="J82" s="110"/>
      <c r="K82" s="110"/>
      <c r="L82" s="105"/>
      <c r="M82" s="143"/>
      <c r="N82" s="105"/>
    </row>
    <row r="83" spans="1:14" x14ac:dyDescent="0.2">
      <c r="D83" s="105"/>
      <c r="E83" s="117"/>
      <c r="F83" s="1"/>
      <c r="G83" s="110"/>
      <c r="H83" s="105"/>
      <c r="I83" s="110"/>
      <c r="J83" s="110"/>
      <c r="K83" s="105"/>
      <c r="L83" s="140"/>
      <c r="M83" s="105"/>
      <c r="N83" s="105"/>
    </row>
    <row r="84" spans="1:14" ht="15.75" x14ac:dyDescent="0.25">
      <c r="A84" s="190" t="s">
        <v>160</v>
      </c>
      <c r="B84" s="3" t="s">
        <v>10</v>
      </c>
      <c r="D84" s="105"/>
      <c r="E84" s="31" t="s">
        <v>9</v>
      </c>
      <c r="F84" s="105"/>
      <c r="G84" s="105"/>
      <c r="H84" s="105"/>
      <c r="I84" s="144"/>
      <c r="J84" s="105"/>
      <c r="K84" s="105"/>
      <c r="L84" s="140"/>
      <c r="M84" s="105"/>
      <c r="N84" s="105"/>
    </row>
    <row r="85" spans="1:14" x14ac:dyDescent="0.2">
      <c r="A85" s="113" t="s">
        <v>233</v>
      </c>
      <c r="B85" s="132">
        <f>Iout*((Vout/Vin_min)*(Vin_min-Vout)/Vin_min)^0.5</f>
        <v>3.1224989991991992</v>
      </c>
      <c r="D85" s="105"/>
      <c r="E85" s="117" t="s">
        <v>4</v>
      </c>
      <c r="F85" s="105"/>
      <c r="G85" s="105"/>
      <c r="H85" s="140"/>
      <c r="I85" s="145"/>
      <c r="J85" s="145"/>
      <c r="K85" s="145"/>
      <c r="L85" s="140"/>
      <c r="M85" s="105"/>
      <c r="N85" s="105"/>
    </row>
    <row r="86" spans="1:14" x14ac:dyDescent="0.2">
      <c r="A86" s="113" t="s">
        <v>168</v>
      </c>
      <c r="B86" s="124">
        <f>0.005*Vin_nom*10^3</f>
        <v>60</v>
      </c>
      <c r="D86" s="105"/>
      <c r="E86" s="117" t="s">
        <v>137</v>
      </c>
      <c r="G86" s="105"/>
      <c r="H86" s="3"/>
      <c r="I86" s="3"/>
      <c r="J86" s="105"/>
      <c r="K86" s="105"/>
      <c r="L86" s="3"/>
      <c r="M86" s="105"/>
      <c r="N86" s="105"/>
    </row>
    <row r="87" spans="1:14" x14ac:dyDescent="0.2">
      <c r="A87" s="113" t="s">
        <v>111</v>
      </c>
      <c r="B87" s="128">
        <f>(Iout*0.25)/(Vinripple*fsw)*10^6</f>
        <v>47.61904761904762</v>
      </c>
      <c r="D87" s="105"/>
      <c r="E87" s="117" t="s">
        <v>128</v>
      </c>
      <c r="F87" s="105"/>
      <c r="G87" s="105"/>
      <c r="H87" s="105"/>
      <c r="I87" s="140"/>
      <c r="J87" s="140"/>
      <c r="K87" s="140"/>
      <c r="L87" s="105"/>
      <c r="M87" s="105"/>
      <c r="N87" s="105"/>
    </row>
    <row r="88" spans="1:14" x14ac:dyDescent="0.2">
      <c r="A88" s="113" t="s">
        <v>234</v>
      </c>
      <c r="B88" s="137">
        <v>7.6</v>
      </c>
      <c r="D88" s="105"/>
      <c r="E88" s="117" t="s">
        <v>128</v>
      </c>
      <c r="F88" s="105"/>
      <c r="G88" s="105"/>
      <c r="H88" s="105"/>
      <c r="I88" s="140"/>
      <c r="J88" s="140"/>
      <c r="K88" s="140"/>
      <c r="L88" s="105"/>
      <c r="M88" s="105"/>
      <c r="N88" s="105"/>
    </row>
    <row r="89" spans="1:14" x14ac:dyDescent="0.2">
      <c r="A89" s="113" t="s">
        <v>232</v>
      </c>
      <c r="B89" s="130">
        <f>(Iout*Vout/Vin_max*(1-Vout/Vin_max))/(Cin*fsw)*10^3</f>
        <v>184.13380389749886</v>
      </c>
      <c r="C89" s="130">
        <f>(Iout*Vout/Vin_nom*(1-Vout/Vin_nom))/(Cin*fsw)*10^3</f>
        <v>191.72932330827069</v>
      </c>
      <c r="D89" s="130">
        <f>(Iout*Vout/Vin_min*(1-Vout/Vin_min))/(Cin*fsw)*10^3</f>
        <v>229.08834586466165</v>
      </c>
      <c r="E89" s="117" t="s">
        <v>137</v>
      </c>
      <c r="F89" s="105"/>
      <c r="G89" s="105"/>
      <c r="H89" s="105"/>
      <c r="I89" s="140"/>
      <c r="J89" s="140"/>
      <c r="K89" s="140"/>
      <c r="L89" s="105"/>
      <c r="M89" s="105"/>
      <c r="N89" s="105"/>
    </row>
    <row r="90" spans="1:14" x14ac:dyDescent="0.2">
      <c r="E90" s="117"/>
      <c r="F90" s="1"/>
      <c r="G90" s="105"/>
      <c r="H90" s="105"/>
      <c r="I90" s="110"/>
      <c r="J90" s="105"/>
      <c r="K90" s="105"/>
      <c r="L90" s="105"/>
      <c r="M90" s="105"/>
      <c r="N90" s="105"/>
    </row>
    <row r="91" spans="1:14" ht="15.75" x14ac:dyDescent="0.25">
      <c r="A91" s="190" t="s">
        <v>329</v>
      </c>
      <c r="B91" s="3" t="s">
        <v>10</v>
      </c>
      <c r="D91" s="105"/>
      <c r="E91" s="31" t="s">
        <v>9</v>
      </c>
      <c r="F91" s="105"/>
      <c r="G91" s="105"/>
      <c r="H91" s="105"/>
      <c r="I91" s="110"/>
      <c r="J91" s="105"/>
      <c r="K91" s="105"/>
      <c r="L91" s="105"/>
      <c r="M91" s="105"/>
      <c r="N91" s="105"/>
    </row>
    <row r="92" spans="1:14" x14ac:dyDescent="0.2">
      <c r="A92" s="113" t="s">
        <v>107</v>
      </c>
      <c r="B92" s="128">
        <f>(Vstart*(Vena_stop/Vena_start)-Vstop)/(I_1*(1-Vena_stop/Vena_start)+Ihys)/1000</f>
        <v>45.913461538461448</v>
      </c>
      <c r="C92" s="91">
        <f>(IF((10^(LOG(B92)-INT(LOG(B92)))*100)-VLOOKUP((10^(LOG(B92)-INT(LOG(B92)))*100),E96_s:E96_f,1)&lt;VLOOKUP((10^(LOG(B92)-INT(LOG(B92)))*100),E96_s:E96_f,2)-(10^(LOG(B92)-INT(LOG(B92)))*100),VLOOKUP((10^(LOG(B92)-INT(LOG(B92)))*100),E96_s:E96_f,1),VLOOKUP((10^(LOG(B92)-INT(LOG(B92)))*100),E96_s:E96_f,2)))*10^INT(LOG(B92))/100</f>
        <v>46.4</v>
      </c>
      <c r="D92" s="105"/>
      <c r="E92" s="117" t="s">
        <v>110</v>
      </c>
      <c r="F92" s="105"/>
      <c r="G92" s="105"/>
      <c r="H92" s="105"/>
      <c r="I92" s="110"/>
      <c r="J92" s="105"/>
      <c r="K92" s="105"/>
      <c r="L92" s="105"/>
      <c r="M92" s="105"/>
      <c r="N92" s="105"/>
    </row>
    <row r="93" spans="1:14" x14ac:dyDescent="0.2">
      <c r="A93" s="113" t="s">
        <v>81</v>
      </c>
      <c r="B93" s="100">
        <f>C92</f>
        <v>46.4</v>
      </c>
      <c r="D93" s="123"/>
      <c r="E93" s="117" t="s">
        <v>110</v>
      </c>
      <c r="F93" s="105"/>
      <c r="G93" s="105"/>
      <c r="H93" s="105"/>
      <c r="I93" s="110"/>
      <c r="J93" s="105"/>
      <c r="K93" s="105"/>
      <c r="L93" s="105"/>
      <c r="M93" s="105"/>
      <c r="N93" s="105"/>
    </row>
    <row r="94" spans="1:14" x14ac:dyDescent="0.2">
      <c r="A94" s="146" t="s">
        <v>108</v>
      </c>
      <c r="B94" s="128">
        <f>(Ruvlo1*Vena_stop)/((Vstop-Vena_stop)+Ruvlo1*(I_1+Ihys))/1000</f>
        <v>17.851317935497445</v>
      </c>
      <c r="C94" s="91">
        <f>(IF((10^(LOG(B94)-INT(LOG(B94)))*100)-VLOOKUP((10^(LOG(B94)-INT(LOG(B94)))*100),E96_s:E96_f,1)&lt;VLOOKUP((10^(LOG(B94)-INT(LOG(B94)))*100),E96_s:E96_f,2)-(10^(LOG(B94)-INT(LOG(B94)))*100),VLOOKUP((10^(LOG(B94)-INT(LOG(B94)))*100),E96_s:E96_f,1),VLOOKUP((10^(LOG(B94)-INT(LOG(B94)))*100),E96_s:E96_f,2)))*10^INT(LOG(B94))/100</f>
        <v>17.8</v>
      </c>
      <c r="D94" s="123"/>
      <c r="E94" s="117" t="s">
        <v>110</v>
      </c>
      <c r="F94" s="3"/>
      <c r="G94" s="105"/>
      <c r="H94" s="105"/>
      <c r="I94" s="110"/>
      <c r="J94" s="105"/>
      <c r="K94" s="105"/>
      <c r="L94" s="105"/>
      <c r="M94" s="105"/>
      <c r="N94" s="105"/>
    </row>
    <row r="95" spans="1:14" x14ac:dyDescent="0.2">
      <c r="A95" s="113" t="s">
        <v>82</v>
      </c>
      <c r="B95" s="100">
        <f>C94</f>
        <v>17.8</v>
      </c>
      <c r="D95" s="123"/>
      <c r="E95" s="117" t="s">
        <v>110</v>
      </c>
      <c r="F95" s="105"/>
      <c r="G95" s="105"/>
      <c r="H95" s="105"/>
      <c r="I95" s="110"/>
      <c r="J95" s="105"/>
      <c r="K95" s="105"/>
      <c r="L95" s="105"/>
      <c r="M95" s="3"/>
      <c r="N95" s="105"/>
    </row>
    <row r="96" spans="1:14" x14ac:dyDescent="0.2">
      <c r="A96" s="113" t="s">
        <v>248</v>
      </c>
      <c r="B96" s="132">
        <f>Vena_start+Ruvlo1*(Vena_start-I_1*Ruvlo2)/Ruvlo2</f>
        <v>4.3107973033707863</v>
      </c>
      <c r="D96" s="105"/>
      <c r="E96" s="147" t="s">
        <v>5</v>
      </c>
      <c r="F96" s="105"/>
      <c r="G96" s="105"/>
      <c r="H96" s="105"/>
      <c r="I96" s="38"/>
      <c r="J96" s="105"/>
      <c r="K96" s="105"/>
      <c r="L96" s="105"/>
      <c r="M96" s="105"/>
      <c r="N96" s="105"/>
    </row>
    <row r="97" spans="1:14" x14ac:dyDescent="0.2">
      <c r="A97" s="113" t="s">
        <v>249</v>
      </c>
      <c r="B97" s="128">
        <f>Vena_stop-(Ruvlo1*(I_1*Ruvlo2-Vena_stop+Ihys*Ruvlo2))/Ruvlo2</f>
        <v>4.0087676404494381</v>
      </c>
      <c r="E97" s="117" t="s">
        <v>5</v>
      </c>
      <c r="F97" s="105"/>
      <c r="G97" s="105"/>
      <c r="H97" s="105"/>
      <c r="I97" s="38"/>
      <c r="J97" s="105"/>
      <c r="K97" s="105"/>
      <c r="L97" s="105"/>
      <c r="M97" s="105"/>
      <c r="N97" s="105"/>
    </row>
    <row r="98" spans="1:14" x14ac:dyDescent="0.2">
      <c r="A98" s="113" t="s">
        <v>144</v>
      </c>
      <c r="B98" s="128">
        <f>Vin_max*Ruvlo2/(Ruvlo1+Ruvlo2)</f>
        <v>3.4934579439252342</v>
      </c>
      <c r="D98" s="105"/>
      <c r="E98" s="147" t="s">
        <v>5</v>
      </c>
      <c r="F98" s="105"/>
      <c r="G98" s="105"/>
      <c r="H98" s="105"/>
      <c r="I98" s="105"/>
      <c r="J98" s="105"/>
      <c r="K98" s="105"/>
      <c r="L98" s="105"/>
      <c r="M98" s="105"/>
      <c r="N98" s="105"/>
    </row>
    <row r="99" spans="1:14" x14ac:dyDescent="0.2">
      <c r="B99" s="125"/>
      <c r="E99" s="147"/>
      <c r="F99" s="1"/>
      <c r="G99" s="105"/>
      <c r="H99" s="105"/>
      <c r="I99" s="105"/>
      <c r="J99" s="105"/>
      <c r="K99" s="105"/>
      <c r="L99" s="105"/>
      <c r="M99" s="105"/>
      <c r="N99" s="105"/>
    </row>
    <row r="100" spans="1:14" ht="15.75" hidden="1" x14ac:dyDescent="0.25">
      <c r="A100" s="190" t="s">
        <v>200</v>
      </c>
      <c r="B100" s="3" t="s">
        <v>10</v>
      </c>
      <c r="E100" s="31" t="s">
        <v>9</v>
      </c>
      <c r="F100" s="105"/>
      <c r="G100" s="105"/>
      <c r="H100" s="105"/>
      <c r="I100" s="125"/>
      <c r="J100" s="105"/>
      <c r="K100" s="105"/>
      <c r="L100" s="105"/>
      <c r="M100" s="105"/>
      <c r="N100" s="105"/>
    </row>
    <row r="101" spans="1:14" hidden="1" x14ac:dyDescent="0.2">
      <c r="A101" s="113" t="s">
        <v>107</v>
      </c>
      <c r="B101" s="128" t="str">
        <f>IF(B3=E11,(Vstart*(Vena_stop/Vena_start)-Vstop)/(2*I_1*(1-Vena_stop/Vena_start)+2*Ihys)/1000,"N/A")</f>
        <v>N/A</v>
      </c>
      <c r="C101" s="91" t="e">
        <f>(IF((10^(LOG(B101)-INT(LOG(B101)))*100)-VLOOKUP((10^(LOG(B101)-INT(LOG(B101)))*100),E96_s:E96_f,1)&lt;VLOOKUP((10^(LOG(B101)-INT(LOG(B101)))*100),E96_s:E96_f,2)-(10^(LOG(B101)-INT(LOG(B101)))*100),VLOOKUP((10^(LOG(B101)-INT(LOG(B101)))*100),E96_s:E96_f,1),VLOOKUP((10^(LOG(B101)-INT(LOG(B101)))*100),E96_s:E96_f,2)))*10^INT(LOG(B101))/100</f>
        <v>#VALUE!</v>
      </c>
      <c r="D101" s="105"/>
      <c r="E101" s="117" t="s">
        <v>110</v>
      </c>
      <c r="F101" s="105"/>
      <c r="G101" s="105"/>
      <c r="H101" s="105"/>
      <c r="I101" s="110"/>
      <c r="J101" s="105"/>
      <c r="K101" s="105"/>
      <c r="L101" s="105"/>
      <c r="M101" s="105"/>
      <c r="N101" s="105"/>
    </row>
    <row r="102" spans="1:14" hidden="1" x14ac:dyDescent="0.2">
      <c r="A102" s="113" t="s">
        <v>81</v>
      </c>
      <c r="B102" s="137" t="e">
        <f>C101</f>
        <v>#VALUE!</v>
      </c>
      <c r="D102" s="123"/>
      <c r="E102" s="117" t="s">
        <v>110</v>
      </c>
      <c r="F102" s="105"/>
      <c r="G102" s="105"/>
      <c r="H102" s="105"/>
      <c r="I102" s="110"/>
      <c r="J102" s="105"/>
      <c r="K102" s="105"/>
      <c r="L102" s="105"/>
      <c r="M102" s="105"/>
      <c r="N102" s="105"/>
    </row>
    <row r="103" spans="1:14" hidden="1" x14ac:dyDescent="0.2">
      <c r="A103" s="146" t="s">
        <v>108</v>
      </c>
      <c r="B103" s="128" t="str">
        <f>IF(B3=E11,(Ruvlo1+Vena_stop)/((Vstop-Vena_stop)+Ruvlo1*2*(I_1+Ihys))/1000,"N/A")</f>
        <v>N/A</v>
      </c>
      <c r="C103" s="97" t="e">
        <f>(IF((10^(LOG(B103)-INT(LOG(B103)))*100)-VLOOKUP((10^(LOG(B103)-INT(LOG(B103)))*100),E96_s:E96_f,1)&lt;VLOOKUP((10^(LOG(B103)-INT(LOG(B103)))*100),E96_s:E96_f,2)-(10^(LOG(B103)-INT(LOG(B103)))*100),VLOOKUP((10^(LOG(B103)-INT(LOG(B103)))*100),E96_s:E96_f,1),VLOOKUP((10^(LOG(B103)-INT(LOG(B103)))*100),E96_s:E96_f,2)))*10^INT(LOG(B103))/100</f>
        <v>#VALUE!</v>
      </c>
      <c r="D103" s="123"/>
      <c r="E103" s="117" t="s">
        <v>110</v>
      </c>
      <c r="F103" s="3"/>
      <c r="G103" s="105"/>
      <c r="H103" s="105"/>
      <c r="I103" s="110"/>
      <c r="J103" s="105"/>
      <c r="K103" s="105"/>
      <c r="L103" s="105"/>
      <c r="M103" s="105"/>
      <c r="N103" s="105"/>
    </row>
    <row r="104" spans="1:14" hidden="1" x14ac:dyDescent="0.2">
      <c r="A104" s="113" t="s">
        <v>82</v>
      </c>
      <c r="B104" s="137" t="e">
        <f>C103</f>
        <v>#VALUE!</v>
      </c>
      <c r="D104" s="123"/>
      <c r="E104" s="117" t="s">
        <v>110</v>
      </c>
      <c r="F104" s="105"/>
      <c r="G104" s="105"/>
      <c r="H104" s="105"/>
      <c r="I104" s="110"/>
      <c r="J104" s="105"/>
      <c r="K104" s="105"/>
      <c r="L104" s="105"/>
      <c r="M104" s="3"/>
      <c r="N104" s="105"/>
    </row>
    <row r="105" spans="1:14" hidden="1" x14ac:dyDescent="0.2">
      <c r="A105" s="113" t="s">
        <v>87</v>
      </c>
      <c r="B105" s="128" t="str">
        <f>IF(B3=E11,Vena_start+Ruvlo1*(Vena_start-I_1*Ruvlo2)/Ruvlo2,"N/A")</f>
        <v>N/A</v>
      </c>
      <c r="D105" s="105"/>
      <c r="E105" s="147" t="s">
        <v>5</v>
      </c>
      <c r="F105" s="105"/>
      <c r="G105" s="105"/>
      <c r="H105" s="105"/>
      <c r="I105" s="38"/>
      <c r="J105" s="105"/>
      <c r="K105" s="105"/>
      <c r="L105" s="105"/>
      <c r="M105" s="105"/>
      <c r="N105" s="105"/>
    </row>
    <row r="106" spans="1:14" hidden="1" x14ac:dyDescent="0.2">
      <c r="A106" s="113" t="s">
        <v>86</v>
      </c>
      <c r="B106" s="128" t="str">
        <f>IF(B3=E11,B105-Ihys*Ruvlo1,"N/A")</f>
        <v>N/A</v>
      </c>
      <c r="E106" s="117" t="s">
        <v>5</v>
      </c>
      <c r="F106" s="105"/>
      <c r="G106" s="105"/>
      <c r="H106" s="105"/>
      <c r="I106" s="38"/>
      <c r="J106" s="105"/>
      <c r="K106" s="105"/>
      <c r="L106" s="105"/>
      <c r="M106" s="105"/>
      <c r="N106" s="105"/>
    </row>
    <row r="107" spans="1:14" hidden="1" x14ac:dyDescent="0.2">
      <c r="A107" s="113" t="s">
        <v>145</v>
      </c>
      <c r="B107" s="128" t="str">
        <f>IF(B3=E11,Vin_max*Ruvlo2/(Ruvlo1+Ruvlo2),"N/A")</f>
        <v>N/A</v>
      </c>
      <c r="D107" s="105"/>
      <c r="E107" s="147" t="s">
        <v>5</v>
      </c>
      <c r="F107" s="105"/>
      <c r="G107" s="105"/>
      <c r="H107" s="105"/>
      <c r="I107" s="105"/>
      <c r="J107" s="105"/>
      <c r="K107" s="105"/>
      <c r="L107" s="105"/>
      <c r="M107" s="105"/>
      <c r="N107" s="105"/>
    </row>
    <row r="108" spans="1:14" hidden="1" x14ac:dyDescent="0.2">
      <c r="B108" s="125"/>
      <c r="E108" s="147"/>
      <c r="F108" s="1"/>
      <c r="G108" s="105"/>
      <c r="H108" s="105"/>
      <c r="I108" s="105"/>
      <c r="J108" s="105"/>
      <c r="K108" s="105"/>
      <c r="L108" s="105"/>
      <c r="M108" s="105"/>
      <c r="N108" s="105"/>
    </row>
    <row r="109" spans="1:14" ht="15.75" x14ac:dyDescent="0.25">
      <c r="A109" s="190" t="s">
        <v>152</v>
      </c>
      <c r="B109" s="3" t="s">
        <v>10</v>
      </c>
      <c r="E109" s="31" t="s">
        <v>9</v>
      </c>
      <c r="F109" s="105"/>
      <c r="G109" s="105"/>
      <c r="H109" s="105"/>
      <c r="I109" s="125"/>
      <c r="J109" s="105"/>
      <c r="K109" s="105"/>
      <c r="L109" s="105"/>
      <c r="M109" s="105"/>
      <c r="N109" s="105"/>
    </row>
    <row r="110" spans="1:14" x14ac:dyDescent="0.2">
      <c r="A110" s="113" t="s">
        <v>180</v>
      </c>
      <c r="B110" s="101">
        <v>6.04</v>
      </c>
      <c r="C110" s="96">
        <f>(IF((10^(LOG(B110)-INT(LOG(B110)))*100)-VLOOKUP((10^(LOG(B110)-INT(LOG(B110)))*100),E96_s:E96_f,1)&lt;VLOOKUP((10^(LOG(B110)-INT(LOG(B110)))*100),E96_s:E96_f,2)-(10^(LOG(B110)-INT(LOG(B110)))*100),VLOOKUP((10^(LOG(B110)-INT(LOG(B110)))*100),E96_s:E96_f,1),VLOOKUP((10^(LOG(B110)-INT(LOG(B110)))*100),E96_s:E96_f,2)))*10^INT(LOG(B110))/100</f>
        <v>6.04</v>
      </c>
      <c r="D110" s="105"/>
      <c r="E110" s="117" t="s">
        <v>110</v>
      </c>
      <c r="F110" s="105"/>
      <c r="G110" s="3"/>
      <c r="H110" s="105"/>
      <c r="I110" s="105"/>
      <c r="J110" s="105"/>
      <c r="K110" s="105"/>
      <c r="L110" s="105"/>
      <c r="M110" s="105"/>
      <c r="N110" s="105"/>
    </row>
    <row r="111" spans="1:14" x14ac:dyDescent="0.2">
      <c r="A111" s="113" t="s">
        <v>106</v>
      </c>
      <c r="B111" s="128">
        <f>Rls/1000*(Vout-Vref)/Vref</f>
        <v>7.55</v>
      </c>
      <c r="C111" s="96">
        <f>(IF((10^(LOG(B111)-INT(LOG(B111)))*100)-VLOOKUP((10^(LOG(B111)-INT(LOG(B111)))*100),E96_s:E96_f,1)&lt;VLOOKUP((10^(LOG(B111)-INT(LOG(B111)))*100),E96_s:E96_f,2)-(10^(LOG(B111)-INT(LOG(B111)))*100),VLOOKUP((10^(LOG(B111)-INT(LOG(B111)))*100),E96_s:E96_f,1),VLOOKUP((10^(LOG(B111)-INT(LOG(B111)))*100),E96_s:E96_f,2)))*10^INT(LOG(B111))/100</f>
        <v>7.5</v>
      </c>
      <c r="D111" s="105"/>
      <c r="E111" s="117" t="s">
        <v>110</v>
      </c>
      <c r="F111" s="105"/>
      <c r="G111" s="105"/>
      <c r="H111" s="105"/>
      <c r="I111" s="105"/>
      <c r="J111" s="105"/>
      <c r="K111" s="105"/>
      <c r="L111" s="105"/>
      <c r="M111" s="105"/>
      <c r="N111" s="105"/>
    </row>
    <row r="112" spans="1:14" x14ac:dyDescent="0.2">
      <c r="A112" s="113" t="s">
        <v>27</v>
      </c>
      <c r="B112" s="101">
        <f>C111</f>
        <v>7.5</v>
      </c>
      <c r="D112" s="105"/>
      <c r="E112" s="117" t="s">
        <v>110</v>
      </c>
      <c r="F112" s="105"/>
      <c r="G112" s="105"/>
      <c r="H112" s="3"/>
      <c r="I112" s="3"/>
      <c r="J112" s="105"/>
      <c r="K112" s="105"/>
      <c r="L112" s="3"/>
      <c r="M112" s="105"/>
      <c r="N112" s="105"/>
    </row>
    <row r="113" spans="1:14" x14ac:dyDescent="0.2">
      <c r="A113" s="113" t="s">
        <v>85</v>
      </c>
      <c r="B113" s="139">
        <f>Vref/(Rls/(Rhs+Rls))</f>
        <v>1.7933774834437086</v>
      </c>
      <c r="D113" s="105"/>
      <c r="E113" s="117" t="s">
        <v>5</v>
      </c>
      <c r="F113" s="105"/>
      <c r="G113" s="105"/>
      <c r="H113" s="105"/>
      <c r="I113" s="110"/>
      <c r="J113" s="105"/>
      <c r="K113" s="105"/>
      <c r="L113" s="105"/>
      <c r="M113" s="105"/>
      <c r="N113" s="105"/>
    </row>
    <row r="114" spans="1:14" x14ac:dyDescent="0.2">
      <c r="D114" s="105"/>
      <c r="E114" s="117"/>
      <c r="F114" s="1"/>
      <c r="G114" s="105"/>
      <c r="H114" s="105"/>
      <c r="I114" s="110"/>
      <c r="J114" s="105"/>
      <c r="K114" s="105"/>
      <c r="L114" s="105"/>
      <c r="M114" s="105"/>
      <c r="N114" s="105"/>
    </row>
    <row r="115" spans="1:14" ht="15.75" x14ac:dyDescent="0.25">
      <c r="A115" s="190" t="s">
        <v>140</v>
      </c>
      <c r="B115" s="3" t="s">
        <v>10</v>
      </c>
      <c r="E115" s="31" t="s">
        <v>9</v>
      </c>
      <c r="F115" s="148"/>
      <c r="G115" s="105"/>
      <c r="H115" s="3"/>
      <c r="I115" s="105"/>
      <c r="J115" s="105"/>
      <c r="K115" s="105"/>
      <c r="L115" s="105"/>
      <c r="M115" s="105"/>
      <c r="N115" s="105"/>
    </row>
    <row r="116" spans="1:14" s="105" customFormat="1" x14ac:dyDescent="0.2">
      <c r="A116" s="148" t="s">
        <v>140</v>
      </c>
      <c r="B116" s="137">
        <v>1</v>
      </c>
      <c r="C116" s="148"/>
      <c r="E116" s="148" t="s">
        <v>139</v>
      </c>
      <c r="F116" s="148"/>
    </row>
    <row r="117" spans="1:14" s="105" customFormat="1" x14ac:dyDescent="0.2">
      <c r="A117" s="148" t="s">
        <v>141</v>
      </c>
      <c r="B117" s="138">
        <f>tss*Iss*10^9/Vref</f>
        <v>2.8749999999999991</v>
      </c>
      <c r="C117" s="96">
        <f>IF(B117*10^-3&lt;10000,IF((10^(LOG(B117*10^-3)-INT(LOG(B117*10^-3))))-VLOOKUP((10^(LOG(B117*10^-3)-INT(LOG(B117*10^-3)))),c_s1:C_f1,1)&lt;VLOOKUP((10^(LOG(B117*10^-3)-INT(LOG(B117*10^-3)))),c_s1:C_f1,2)-(10^(LOG(B117*10^-3)-INT(LOG(B117*10^-3)))),VLOOKUP((10^(LOG(B117*10^-3)-INT(LOG(B117*10^-3)))),c_s1:C_f1,1),VLOOKUP((10^(LOG(B117*10^-3)-INT(LOG(B117*10^-3)))),c_s1:C_f1,2))*10^INT(LOG(B117*10^-3)),IF((10^(LOG(B117*10^-3)-INT(LOG(B117*10^-3))))-VLOOKUP((10^(LOG(B117*10^-3)-INT(LOG(B117*10^-3)))),C_s2:C_f2,1)&lt;VLOOKUP((10^(LOG(B117*10^-3)-INT(LOG(B117*10^-3)))),C_s2:C_f2,2)-(10^(LOG(B117*10^-3)-INT(LOG(B117*10^-3)))),VLOOKUP((10^(LOG(B117*10^-3)-INT(LOG(B117*10^-3)))),C_s2:C_f2,1),VLOOKUP((10^(LOG(B117*10^-3)-INT(LOG(B117*10^-3)))),C_s2:C_f2,2))*10^INT(LOG(B117*10^-3)))*10^3</f>
        <v>2.7</v>
      </c>
      <c r="D117" s="148"/>
      <c r="E117" s="148" t="s">
        <v>138</v>
      </c>
      <c r="F117" s="148"/>
      <c r="H117" s="3"/>
    </row>
    <row r="118" spans="1:14" s="105" customFormat="1" x14ac:dyDescent="0.2">
      <c r="A118" s="148" t="s">
        <v>142</v>
      </c>
      <c r="B118" s="100">
        <f>C117</f>
        <v>2.7</v>
      </c>
      <c r="C118" s="148"/>
      <c r="D118" s="148"/>
      <c r="E118" s="148" t="s">
        <v>138</v>
      </c>
      <c r="F118" s="148"/>
      <c r="H118" s="3"/>
    </row>
    <row r="119" spans="1:14" x14ac:dyDescent="0.2">
      <c r="A119" s="148" t="s">
        <v>140</v>
      </c>
      <c r="B119" s="132">
        <f>Css*Vref/Iss*10^3</f>
        <v>0.93913043478260905</v>
      </c>
      <c r="C119" s="148"/>
      <c r="D119" s="148"/>
      <c r="E119" s="147" t="s">
        <v>139</v>
      </c>
      <c r="F119" s="148"/>
      <c r="G119" s="105"/>
      <c r="H119" s="105"/>
      <c r="I119" s="105"/>
      <c r="J119" s="105"/>
      <c r="K119" s="105"/>
      <c r="L119" s="105"/>
      <c r="M119" s="105"/>
      <c r="N119" s="105"/>
    </row>
    <row r="120" spans="1:14" x14ac:dyDescent="0.2">
      <c r="A120" s="148" t="s">
        <v>332</v>
      </c>
      <c r="B120" s="132">
        <f>(Co+Co_2)*Vout/(B119*0.001)</f>
        <v>0.38352499999999984</v>
      </c>
      <c r="C120" s="148"/>
      <c r="D120" s="148"/>
      <c r="E120" s="147" t="s">
        <v>4</v>
      </c>
      <c r="F120" s="148"/>
      <c r="G120" s="105"/>
      <c r="H120" s="105"/>
      <c r="I120" s="105"/>
      <c r="J120" s="105"/>
      <c r="K120" s="105"/>
      <c r="L120" s="105"/>
      <c r="M120" s="105"/>
      <c r="N120" s="105"/>
    </row>
    <row r="121" spans="1:14" x14ac:dyDescent="0.2">
      <c r="A121" s="103"/>
      <c r="B121" s="148"/>
      <c r="C121" s="148"/>
      <c r="D121" s="148"/>
      <c r="E121" s="147"/>
      <c r="F121" s="105"/>
      <c r="G121" s="105"/>
      <c r="H121" s="105"/>
      <c r="I121" s="143"/>
      <c r="J121" s="105"/>
      <c r="K121" s="123"/>
      <c r="L121" s="105"/>
      <c r="M121" s="105"/>
      <c r="N121" s="105"/>
    </row>
    <row r="122" spans="1:14" ht="15.75" x14ac:dyDescent="0.25">
      <c r="A122" s="190" t="s">
        <v>159</v>
      </c>
      <c r="D122" s="148"/>
      <c r="E122" s="117"/>
      <c r="F122" s="1"/>
      <c r="G122" s="105"/>
      <c r="H122" s="105"/>
      <c r="I122" s="143"/>
      <c r="J122" s="105"/>
      <c r="K122" s="123"/>
      <c r="L122" s="105"/>
      <c r="M122" s="105"/>
      <c r="N122" s="105"/>
    </row>
    <row r="123" spans="1:14" x14ac:dyDescent="0.2">
      <c r="A123" s="4" t="s">
        <v>158</v>
      </c>
      <c r="B123" s="3" t="s">
        <v>10</v>
      </c>
      <c r="C123" s="105"/>
      <c r="D123" s="105"/>
      <c r="E123" s="31" t="s">
        <v>9</v>
      </c>
      <c r="F123" s="110"/>
      <c r="G123" s="105"/>
      <c r="H123" s="105"/>
      <c r="I123" s="143"/>
      <c r="J123" s="105"/>
      <c r="K123" s="123"/>
      <c r="L123" s="105"/>
      <c r="M123" s="105"/>
      <c r="N123" s="105"/>
    </row>
    <row r="124" spans="1:14" x14ac:dyDescent="0.2">
      <c r="A124" s="93" t="s">
        <v>242</v>
      </c>
      <c r="B124" s="139">
        <f>(Iout)/(2*PI()*Vout*(Co+Co_2))/1000</f>
        <v>3.5350090086489052</v>
      </c>
      <c r="C124" s="125"/>
      <c r="D124" s="105"/>
      <c r="E124" s="122" t="s">
        <v>14</v>
      </c>
      <c r="F124" s="110"/>
      <c r="G124" s="105"/>
      <c r="H124" s="105"/>
      <c r="I124" s="143"/>
      <c r="J124" s="105"/>
      <c r="K124" s="105"/>
      <c r="L124" s="105"/>
      <c r="M124" s="3"/>
      <c r="N124" s="105"/>
    </row>
    <row r="125" spans="1:14" x14ac:dyDescent="0.2">
      <c r="A125" s="113" t="s">
        <v>243</v>
      </c>
      <c r="B125" s="130">
        <f>1/(2*PI()*MAX(Co,Co_2)*IF(Co&gt;Co_2,ESR,ESR_2))/1000</f>
        <v>397.88735772973837</v>
      </c>
      <c r="C125" s="105"/>
      <c r="D125" s="125"/>
      <c r="E125" s="122" t="s">
        <v>14</v>
      </c>
      <c r="F125" s="110"/>
      <c r="G125" s="105"/>
      <c r="H125" s="105"/>
      <c r="I125" s="125"/>
      <c r="J125" s="105"/>
      <c r="K125" s="105"/>
      <c r="L125" s="105"/>
      <c r="M125" s="105"/>
      <c r="N125" s="105"/>
    </row>
    <row r="126" spans="1:14" x14ac:dyDescent="0.2">
      <c r="A126" s="113" t="s">
        <v>285</v>
      </c>
      <c r="B126" s="128">
        <f>SQRT(fpole*fzero)/1000</f>
        <v>37.503805060315344</v>
      </c>
      <c r="C126" s="105"/>
      <c r="D126" s="105"/>
      <c r="E126" s="122" t="s">
        <v>14</v>
      </c>
      <c r="F126" s="235" t="s">
        <v>368</v>
      </c>
      <c r="G126" s="105"/>
      <c r="H126" s="105"/>
      <c r="I126" s="125"/>
      <c r="J126" s="105"/>
      <c r="K126" s="105"/>
      <c r="L126" s="110"/>
      <c r="M126" s="105"/>
      <c r="N126" s="105"/>
    </row>
    <row r="127" spans="1:14" x14ac:dyDescent="0.2">
      <c r="A127" s="113" t="s">
        <v>286</v>
      </c>
      <c r="B127" s="128">
        <f>SQRT(fpole*(fsw/2))/1000</f>
        <v>35.174609493598027</v>
      </c>
      <c r="C127" s="105"/>
      <c r="D127" s="105"/>
      <c r="E127" s="122" t="s">
        <v>14</v>
      </c>
      <c r="F127" s="235"/>
      <c r="G127" s="105"/>
    </row>
    <row r="128" spans="1:14" x14ac:dyDescent="0.2">
      <c r="A128" s="113" t="s">
        <v>340</v>
      </c>
      <c r="B128" s="128">
        <f>MIN(VLOOKUP(0,'Small Signal'!I2:L212,4,FALSE)/1000,1/7*fsw*1/1000)</f>
        <v>85.769589859089535</v>
      </c>
      <c r="C128" s="105"/>
      <c r="D128" s="105"/>
      <c r="E128" s="122" t="s">
        <v>14</v>
      </c>
      <c r="F128" s="105" t="s">
        <v>366</v>
      </c>
      <c r="G128" s="105"/>
    </row>
    <row r="129" spans="1:14" x14ac:dyDescent="0.2">
      <c r="A129" s="113" t="s">
        <v>287</v>
      </c>
      <c r="B129" s="137">
        <f>B128</f>
        <v>85.769589859089535</v>
      </c>
      <c r="C129" s="105"/>
      <c r="D129" s="105"/>
      <c r="E129" s="147" t="s">
        <v>14</v>
      </c>
      <c r="G129" s="105"/>
      <c r="H129" s="105"/>
      <c r="I129" s="105"/>
      <c r="J129" s="105"/>
      <c r="K129" s="105"/>
      <c r="L129" s="105"/>
      <c r="M129" s="105"/>
      <c r="N129" s="105"/>
    </row>
    <row r="130" spans="1:14" x14ac:dyDescent="0.2">
      <c r="A130" s="4" t="s">
        <v>12</v>
      </c>
      <c r="D130" s="105"/>
      <c r="G130" s="105"/>
      <c r="H130" s="140"/>
    </row>
    <row r="131" spans="1:14" x14ac:dyDescent="0.2">
      <c r="A131" s="113" t="s">
        <v>105</v>
      </c>
      <c r="B131" s="132">
        <f>(2*PI()*fco*(Co+Co_2)/gmps)*(Vout/(gmea*Vref))/1000</f>
        <v>11.664858459782886</v>
      </c>
      <c r="C131" s="96">
        <f>(IF((10^(LOG(B131)-INT(LOG(B131)))*100)-VLOOKUP((10^(LOG(B131)-INT(LOG(B131)))*100),E96_s:E96_f,1)&lt;VLOOKUP((10^(LOG(B131)-INT(LOG(B131)))*100),E96_s:E96_f,2)-(10^(LOG(B131)-INT(LOG(B131)))*100),VLOOKUP((10^(LOG(B131)-INT(LOG(B131)))*100),E96_s:E96_f,1),VLOOKUP((10^(LOG(B131)-INT(LOG(B131)))*100),E96_s:E96_f,2)))*10^INT(LOG(B131))/100</f>
        <v>11.8</v>
      </c>
      <c r="E131" s="117" t="s">
        <v>110</v>
      </c>
      <c r="G131" s="105"/>
      <c r="H131" s="105"/>
      <c r="I131" s="123"/>
      <c r="J131" s="105"/>
      <c r="K131" s="105"/>
      <c r="L131" s="105"/>
      <c r="M131" s="105"/>
      <c r="N131" s="105"/>
    </row>
    <row r="132" spans="1:14" x14ac:dyDescent="0.2">
      <c r="A132" s="113" t="s">
        <v>23</v>
      </c>
      <c r="B132" s="101">
        <f>C131</f>
        <v>11.8</v>
      </c>
      <c r="C132" s="105"/>
      <c r="D132" s="110"/>
      <c r="E132" s="117" t="s">
        <v>110</v>
      </c>
      <c r="G132" s="105"/>
      <c r="H132" s="3"/>
      <c r="I132" s="3"/>
      <c r="J132" s="105"/>
      <c r="K132" s="105"/>
      <c r="L132" s="3"/>
      <c r="M132" s="3"/>
      <c r="N132" s="105"/>
    </row>
    <row r="133" spans="1:14" x14ac:dyDescent="0.2">
      <c r="A133" s="113" t="s">
        <v>244</v>
      </c>
      <c r="B133" s="132">
        <f>1/(2*PI()*Rcomp*fpole*2)*10^9</f>
        <v>1.9077330508474579</v>
      </c>
      <c r="C133" s="96">
        <f>IF(B133&lt;10000,VLOOKUP((10^(LOG(B133)-INT(LOG(B133)))),c_s1:C_f1,1),VLOOKUP((10^(LOG(B133)-INT(LOG(B133)))),C_s2:C_f2,1))*10^INT(LOG(B133))</f>
        <v>1.8</v>
      </c>
      <c r="D133" s="105"/>
      <c r="E133" s="117" t="s">
        <v>138</v>
      </c>
      <c r="G133" s="105"/>
      <c r="H133" s="105"/>
      <c r="I133" s="123"/>
      <c r="J133" s="105"/>
      <c r="K133" s="105"/>
      <c r="L133" s="105"/>
      <c r="M133" s="105"/>
      <c r="N133" s="105"/>
    </row>
    <row r="134" spans="1:14" x14ac:dyDescent="0.2">
      <c r="A134" s="113" t="s">
        <v>288</v>
      </c>
      <c r="B134" s="132">
        <f>1/(2*PI()*Rcomp*fco/10)*10^9</f>
        <v>1.5725511878796363</v>
      </c>
      <c r="C134" s="96">
        <f>IF(B134&lt;10000,VLOOKUP((10^(LOG(B134)-INT(LOG(B134)))),c_s1:C_f1,2),VLOOKUP((10^(LOG(B134)-INT(LOG(B134)))),C_s2:C_f2,2))*10^INT(LOG(B134))</f>
        <v>1.8</v>
      </c>
      <c r="D134" s="38"/>
      <c r="E134" s="117" t="s">
        <v>138</v>
      </c>
      <c r="G134" s="105"/>
      <c r="H134" s="105"/>
      <c r="I134" s="105"/>
      <c r="J134" s="105"/>
      <c r="K134" s="105"/>
      <c r="L134" s="105"/>
      <c r="M134" s="105"/>
      <c r="N134" s="105"/>
    </row>
    <row r="135" spans="1:14" x14ac:dyDescent="0.2">
      <c r="A135" s="113" t="s">
        <v>25</v>
      </c>
      <c r="B135" s="101">
        <f>MAX(C133:C134)</f>
        <v>1.8</v>
      </c>
      <c r="C135" s="110"/>
      <c r="D135" s="38"/>
      <c r="E135" s="117" t="s">
        <v>138</v>
      </c>
      <c r="G135" s="105"/>
      <c r="H135" s="105"/>
      <c r="I135" s="105"/>
      <c r="J135" s="105"/>
      <c r="K135" s="105"/>
      <c r="L135" s="105"/>
      <c r="M135" s="105"/>
      <c r="N135" s="105"/>
    </row>
    <row r="136" spans="1:14" x14ac:dyDescent="0.2">
      <c r="A136" s="113" t="s">
        <v>245</v>
      </c>
      <c r="B136" s="128">
        <f>MAX(0.1,1/(2*PI()*Rcomp*fzero)*10^12-10)</f>
        <v>23.898305084745765</v>
      </c>
      <c r="C136" s="97">
        <f>IF(B136&lt;10000,IF((10^(LOG(B136)-INT(LOG(B136))))-VLOOKUP((10^(LOG(B136)-INT(LOG(B136)))),c_s1:C_f1,1)&lt;VLOOKUP((10^(LOG(B136)-INT(LOG(B136)))),c_s1:C_f1,2)-(10^(LOG(B136)-INT(LOG(B136)))),VLOOKUP((10^(LOG(B136)-INT(LOG(B136)))),c_s1:C_f1,1),VLOOKUP((10^(LOG(B136)-INT(LOG(B136)))),c_s1:C_f1,2))*10^INT(LOG(B136)),IF((10^(LOG(B136)-INT(LOG(B136))))-VLOOKUP((10^(LOG(B136)-INT(LOG(B136)))),C_s2:C_f2,1)&lt;VLOOKUP((10^(LOG(B136)-INT(LOG(B136)))),C_s2:C_f2,2)-(10^(LOG(B136)-INT(LOG(B136)))),VLOOKUP((10^(LOG(B136)-INT(LOG(B136)))),C_s2:C_f2,1),VLOOKUP((10^(LOG(B136)-INT(LOG(B136)))),C_s2:C_f2,2))*10^INT(LOG(B136)))</f>
        <v>22</v>
      </c>
      <c r="D136" s="105"/>
      <c r="E136" s="117" t="s">
        <v>136</v>
      </c>
      <c r="G136" s="105"/>
      <c r="H136" s="3"/>
      <c r="I136" s="3"/>
      <c r="J136" s="105"/>
      <c r="K136" s="105"/>
      <c r="L136" s="3"/>
      <c r="M136" s="3"/>
      <c r="N136" s="105"/>
    </row>
    <row r="137" spans="1:14" x14ac:dyDescent="0.2">
      <c r="A137" s="113" t="s">
        <v>241</v>
      </c>
      <c r="B137" s="128">
        <f>MAX(0.1,1/(Rcomp*PI()*fsw)*10^12-10)</f>
        <v>28.536305833388703</v>
      </c>
      <c r="C137" s="97">
        <f>IF(B137&lt;10000,VLOOKUP((10^(LOG(B137)-INT(LOG(B137)))),c_s1:C_f1,1),VLOOKUP((10^(LOG(B137)-INT(LOG(B137)))),C_s2:C_f2,1))*10^INT(LOG(B137))</f>
        <v>27</v>
      </c>
      <c r="D137" s="105"/>
      <c r="E137" s="117" t="s">
        <v>136</v>
      </c>
      <c r="G137" s="105"/>
      <c r="I137" s="143"/>
      <c r="J137" s="105"/>
      <c r="K137" s="123"/>
      <c r="L137" s="105"/>
      <c r="M137" s="105"/>
      <c r="N137" s="105"/>
    </row>
    <row r="138" spans="1:14" x14ac:dyDescent="0.2">
      <c r="A138" s="113" t="s">
        <v>240</v>
      </c>
      <c r="B138" s="128">
        <f>MAX(0.1,1/(2*PI()*Rcomp*fco*10)*10^12-10)</f>
        <v>5.7255118787963628</v>
      </c>
      <c r="C138" s="97">
        <f>IF(B138&lt;10000,VLOOKUP((10^(LOG(B138)-INT(LOG(B138)))),c_s1:C_f1,1),VLOOKUP((10^(LOG(B138)-INT(LOG(B138)))),C_s2:C_f2,1))*10^INT(LOG(B138))</f>
        <v>5.6</v>
      </c>
      <c r="E138" s="117" t="s">
        <v>136</v>
      </c>
      <c r="G138" s="105"/>
      <c r="H138" s="140"/>
    </row>
    <row r="139" spans="1:14" x14ac:dyDescent="0.2">
      <c r="A139" s="113" t="s">
        <v>26</v>
      </c>
      <c r="B139" s="100">
        <f>MAX(C136:C138)</f>
        <v>27</v>
      </c>
      <c r="E139" s="117" t="s">
        <v>136</v>
      </c>
      <c r="G139" s="105"/>
      <c r="H139" s="140"/>
    </row>
    <row r="140" spans="1:14" x14ac:dyDescent="0.2">
      <c r="A140" s="113" t="s">
        <v>369</v>
      </c>
      <c r="B140" s="132">
        <f>1/(2*PI()*Rhs*fsw/5)*10^12</f>
        <v>151.57613627799554</v>
      </c>
      <c r="C140" s="97">
        <f>IF(B140&lt;10000,VLOOKUP((10^(LOG(B140)-INT(LOG(B140)))),c_s1:C_f1,1),VLOOKUP((10^(LOG(B140)-INT(LOG(B140)))),C_s2:C_f2,1))*10^INT(LOG(B140))</f>
        <v>150</v>
      </c>
      <c r="E140" s="117" t="s">
        <v>136</v>
      </c>
      <c r="F140" s="212"/>
      <c r="G140" s="105"/>
      <c r="H140" s="140"/>
    </row>
    <row r="141" spans="1:14" x14ac:dyDescent="0.2">
      <c r="A141" s="113" t="s">
        <v>198</v>
      </c>
      <c r="B141" s="102">
        <f>C140</f>
        <v>150</v>
      </c>
      <c r="C141" s="38"/>
      <c r="D141" s="38"/>
      <c r="E141" s="117" t="s">
        <v>136</v>
      </c>
      <c r="G141" s="105"/>
      <c r="H141" s="140"/>
    </row>
    <row r="142" spans="1:14" x14ac:dyDescent="0.2">
      <c r="A142" s="113" t="s">
        <v>246</v>
      </c>
      <c r="B142" s="132">
        <f>1/(2*PI()*Cff*Rhs)*10^-3</f>
        <v>141.47106052612921</v>
      </c>
      <c r="C142" s="38"/>
      <c r="D142" s="38"/>
      <c r="E142" s="117" t="s">
        <v>14</v>
      </c>
      <c r="G142" s="105"/>
      <c r="H142" s="140"/>
    </row>
    <row r="143" spans="1:14" x14ac:dyDescent="0.2">
      <c r="A143" s="113" t="s">
        <v>247</v>
      </c>
      <c r="B143" s="132">
        <f>1/(2*PI()*Cff*Rhs*Rls/(Rhs+Rls))*10^-3</f>
        <v>317.13876813307775</v>
      </c>
      <c r="C143" s="38"/>
      <c r="D143" s="38"/>
      <c r="E143" s="117" t="s">
        <v>14</v>
      </c>
      <c r="G143" s="105"/>
      <c r="H143" s="140"/>
    </row>
    <row r="144" spans="1:14" x14ac:dyDescent="0.2">
      <c r="A144" s="94" t="s">
        <v>367</v>
      </c>
      <c r="B144" s="149"/>
      <c r="D144" s="38"/>
      <c r="E144" s="117"/>
      <c r="G144" s="105"/>
      <c r="H144" s="140"/>
    </row>
    <row r="145" spans="1:14" x14ac:dyDescent="0.2">
      <c r="B145" s="110"/>
      <c r="E145" s="117"/>
      <c r="F145" s="1"/>
      <c r="G145" s="140"/>
    </row>
    <row r="146" spans="1:14" ht="15.75" hidden="1" x14ac:dyDescent="0.25">
      <c r="A146" s="190" t="s">
        <v>169</v>
      </c>
      <c r="B146" s="3" t="s">
        <v>10</v>
      </c>
      <c r="E146" s="31" t="s">
        <v>9</v>
      </c>
      <c r="F146" s="134"/>
      <c r="G146" s="105"/>
      <c r="H146" s="123"/>
      <c r="I146" s="110"/>
      <c r="J146" s="105"/>
      <c r="K146" s="105"/>
      <c r="L146" s="105"/>
      <c r="M146" s="105"/>
    </row>
    <row r="147" spans="1:14" hidden="1" x14ac:dyDescent="0.2">
      <c r="A147" s="113" t="s">
        <v>130</v>
      </c>
      <c r="B147" s="95" t="s">
        <v>186</v>
      </c>
      <c r="C147" s="105"/>
      <c r="D147" s="105"/>
      <c r="E147" s="117" t="s">
        <v>109</v>
      </c>
      <c r="F147" s="134"/>
      <c r="G147" s="123"/>
      <c r="H147" s="123"/>
      <c r="I147" s="105"/>
      <c r="J147" s="105"/>
      <c r="K147" s="105"/>
      <c r="L147" s="105"/>
      <c r="M147" s="105"/>
    </row>
    <row r="148" spans="1:14" hidden="1" x14ac:dyDescent="0.2">
      <c r="A148" s="113" t="s">
        <v>173</v>
      </c>
      <c r="B148" s="150" t="e">
        <f>Iout^2*Vout/Vin_nom*B147</f>
        <v>#VALUE!</v>
      </c>
      <c r="C148" s="150" t="e">
        <f>Iout^2*Vout/Vin_max*B147</f>
        <v>#VALUE!</v>
      </c>
      <c r="D148" s="150" t="e">
        <f>Iout^2*Vout/Vin_min*B147</f>
        <v>#VALUE!</v>
      </c>
      <c r="E148" s="117" t="s">
        <v>84</v>
      </c>
      <c r="F148" s="134"/>
      <c r="G148" s="123"/>
      <c r="H148" s="123"/>
      <c r="I148" s="105"/>
      <c r="J148" s="105"/>
      <c r="K148" s="105"/>
      <c r="L148" s="105"/>
      <c r="M148" s="105"/>
    </row>
    <row r="149" spans="1:14" hidden="1" x14ac:dyDescent="0.2">
      <c r="A149" s="113" t="s">
        <v>174</v>
      </c>
      <c r="B149" s="150">
        <f>Vin_nom*fsw*Iout*(Vin_nom*0.16*10^-9+0.000000003)</f>
        <v>0.33062400000000003</v>
      </c>
      <c r="C149" s="150">
        <f>Vin_max*fsw*Iout*(Vin_max*0.16*10^-9+0.000000003)</f>
        <v>0.35392896000000007</v>
      </c>
      <c r="D149" s="150">
        <f>Vin_min*fsw*Iout*(Vin_min*0.16*10^-9+0.000000003)</f>
        <v>0.24385536000000005</v>
      </c>
      <c r="E149" s="117" t="s">
        <v>84</v>
      </c>
      <c r="F149" s="151"/>
      <c r="G149" s="149"/>
      <c r="H149" s="123"/>
      <c r="I149" s="105"/>
      <c r="J149" s="105"/>
      <c r="K149" s="105"/>
      <c r="L149" s="105"/>
      <c r="M149" s="105"/>
    </row>
    <row r="150" spans="1:14" hidden="1" x14ac:dyDescent="0.2">
      <c r="A150" s="113" t="s">
        <v>175</v>
      </c>
      <c r="B150" s="150">
        <f>Vin_nom*0.000000003*fsw</f>
        <v>2.52E-2</v>
      </c>
      <c r="C150" s="150">
        <f>Vin_max*0.000000003*fsw</f>
        <v>2.6460000000000001E-2</v>
      </c>
      <c r="D150" s="150">
        <f>Vin_min*0.000000003*fsw</f>
        <v>2.0160000000000001E-2</v>
      </c>
      <c r="E150" s="117" t="s">
        <v>84</v>
      </c>
      <c r="F150" s="105"/>
      <c r="G150" s="123"/>
      <c r="H150" s="105"/>
      <c r="I150" s="38"/>
      <c r="J150" s="38"/>
      <c r="K150" s="38"/>
      <c r="L150" s="105"/>
      <c r="M150" s="105"/>
      <c r="N150" s="105"/>
    </row>
    <row r="151" spans="1:14" hidden="1" x14ac:dyDescent="0.2">
      <c r="A151" s="113" t="s">
        <v>176</v>
      </c>
      <c r="B151" s="150">
        <f>Iq*Vin_nom</f>
        <v>7.1999999999999998E-3</v>
      </c>
      <c r="C151" s="150">
        <f>Iq*Vin_max</f>
        <v>7.5599999999999999E-3</v>
      </c>
      <c r="D151" s="150">
        <f>Iq*Vin_min</f>
        <v>5.7600000000000004E-3</v>
      </c>
      <c r="E151" s="117" t="s">
        <v>84</v>
      </c>
      <c r="F151" s="105"/>
      <c r="H151" s="105"/>
      <c r="I151" s="38"/>
      <c r="J151" s="38"/>
      <c r="K151" s="38"/>
      <c r="L151" s="105"/>
      <c r="M151" s="110"/>
      <c r="N151" s="105"/>
    </row>
    <row r="152" spans="1:14" hidden="1" x14ac:dyDescent="0.2">
      <c r="A152" s="113" t="s">
        <v>177</v>
      </c>
      <c r="B152" s="152" t="e">
        <f>B148+B149+B150+B151</f>
        <v>#VALUE!</v>
      </c>
      <c r="C152" s="152" t="e">
        <f>C148+C149+C150+C151</f>
        <v>#VALUE!</v>
      </c>
      <c r="D152" s="152" t="e">
        <f>D148+D149+D150+D151</f>
        <v>#VALUE!</v>
      </c>
      <c r="E152" s="117" t="s">
        <v>84</v>
      </c>
      <c r="F152" s="3"/>
      <c r="H152" s="105"/>
      <c r="I152" s="125"/>
      <c r="J152" s="125"/>
      <c r="K152" s="125"/>
      <c r="L152" s="105"/>
      <c r="M152" s="110"/>
      <c r="N152" s="105"/>
    </row>
    <row r="153" spans="1:14" hidden="1" x14ac:dyDescent="0.2">
      <c r="A153" s="113" t="s">
        <v>147</v>
      </c>
      <c r="B153" s="137" t="s">
        <v>186</v>
      </c>
      <c r="C153" s="105"/>
      <c r="D153" s="105"/>
      <c r="E153" s="117" t="s">
        <v>125</v>
      </c>
      <c r="F153" s="105"/>
      <c r="H153" s="105"/>
      <c r="I153" s="125"/>
      <c r="J153" s="125"/>
      <c r="K153" s="125"/>
      <c r="L153" s="105"/>
      <c r="M153" s="110"/>
      <c r="N153" s="105"/>
    </row>
    <row r="154" spans="1:14" hidden="1" x14ac:dyDescent="0.2">
      <c r="A154" s="113" t="s">
        <v>148</v>
      </c>
      <c r="B154" s="137" t="s">
        <v>186</v>
      </c>
      <c r="C154" s="142"/>
      <c r="E154" s="147" t="s">
        <v>149</v>
      </c>
      <c r="F154" s="105"/>
      <c r="H154" s="105"/>
      <c r="I154" s="140"/>
      <c r="J154" s="105"/>
      <c r="K154" s="105"/>
      <c r="L154" s="105"/>
      <c r="M154" s="110"/>
      <c r="N154" s="105"/>
    </row>
    <row r="155" spans="1:14" hidden="1" x14ac:dyDescent="0.2">
      <c r="A155" s="113" t="s">
        <v>150</v>
      </c>
      <c r="B155" s="152" t="e">
        <f>(150-B154)/B153</f>
        <v>#VALUE!</v>
      </c>
      <c r="C155" s="142"/>
      <c r="E155" s="147" t="s">
        <v>84</v>
      </c>
      <c r="H155" s="105"/>
      <c r="I155" s="140"/>
      <c r="J155" s="105"/>
      <c r="K155" s="105"/>
      <c r="L155" s="105"/>
      <c r="M155" s="110"/>
      <c r="N155" s="105"/>
    </row>
    <row r="156" spans="1:14" ht="12" hidden="1" customHeight="1" x14ac:dyDescent="0.2"/>
    <row r="157" spans="1:14" ht="15.75" x14ac:dyDescent="0.25">
      <c r="A157" s="190" t="s">
        <v>151</v>
      </c>
      <c r="B157" s="1" t="s">
        <v>10</v>
      </c>
      <c r="E157" s="30" t="s">
        <v>9</v>
      </c>
      <c r="G157" s="105"/>
      <c r="H157" s="105"/>
      <c r="I157" s="143"/>
      <c r="J157" s="105"/>
      <c r="K157" s="105"/>
      <c r="L157" s="105"/>
      <c r="M157" s="110"/>
      <c r="N157" s="105"/>
    </row>
    <row r="158" spans="1:14" x14ac:dyDescent="0.2">
      <c r="A158" s="113" t="s">
        <v>120</v>
      </c>
      <c r="B158" s="153">
        <f>LOOKUP(B$3,partdata!A2:A20,partdata!E2:E20)</f>
        <v>4.5</v>
      </c>
      <c r="D158" s="1"/>
      <c r="E158" s="122" t="s">
        <v>5</v>
      </c>
      <c r="G158" s="105"/>
      <c r="H158" s="105"/>
      <c r="I158" s="105"/>
      <c r="J158" s="105"/>
      <c r="K158" s="105"/>
      <c r="L158" s="110"/>
      <c r="M158" s="105"/>
      <c r="N158" s="105"/>
    </row>
    <row r="159" spans="1:14" x14ac:dyDescent="0.2">
      <c r="A159" s="113" t="s">
        <v>121</v>
      </c>
      <c r="B159" s="154">
        <f>LOOKUP(B$3,partdata!A2:A20,partdata!F2:F20)</f>
        <v>17</v>
      </c>
      <c r="E159" s="122" t="s">
        <v>5</v>
      </c>
      <c r="G159" s="105"/>
      <c r="H159" s="105"/>
      <c r="I159" s="110"/>
      <c r="J159" s="110"/>
      <c r="K159" s="105"/>
      <c r="L159" s="105"/>
      <c r="M159" s="105"/>
      <c r="N159" s="105"/>
    </row>
    <row r="160" spans="1:14" x14ac:dyDescent="0.2">
      <c r="A160" s="113" t="s">
        <v>261</v>
      </c>
      <c r="B160" s="154">
        <f>LOOKUP(B$3,partdata!A2:A20,partdata!G2:G20)</f>
        <v>6</v>
      </c>
      <c r="E160" s="122" t="s">
        <v>4</v>
      </c>
      <c r="G160" s="105"/>
      <c r="H160" s="105"/>
      <c r="I160" s="110"/>
      <c r="J160" s="110"/>
      <c r="K160" s="110"/>
      <c r="L160" s="105"/>
      <c r="M160" s="105"/>
      <c r="N160" s="105"/>
    </row>
    <row r="161" spans="1:14" x14ac:dyDescent="0.2">
      <c r="A161" s="113" t="s">
        <v>0</v>
      </c>
      <c r="B161" s="155">
        <f>LOOKUP(B$3,partdata!A2:A20,partdata!H2:H20)</f>
        <v>1300</v>
      </c>
      <c r="E161" s="117" t="s">
        <v>197</v>
      </c>
      <c r="G161" s="105"/>
      <c r="H161" s="105"/>
      <c r="I161" s="110"/>
      <c r="J161" s="110"/>
      <c r="K161" s="110"/>
      <c r="L161" s="105"/>
      <c r="M161" s="105"/>
      <c r="N161" s="105"/>
    </row>
    <row r="162" spans="1:14" hidden="1" x14ac:dyDescent="0.2">
      <c r="A162" s="113" t="s">
        <v>1</v>
      </c>
      <c r="B162" s="156">
        <f>LOOKUP(B$3,partdata!A2:A20,partdata!I2:I20)</f>
        <v>16</v>
      </c>
      <c r="D162" s="105"/>
      <c r="E162" s="117" t="s">
        <v>211</v>
      </c>
      <c r="G162" s="105"/>
      <c r="I162" s="110"/>
      <c r="J162" s="110"/>
      <c r="K162" s="105"/>
      <c r="L162" s="105"/>
      <c r="M162" s="105"/>
      <c r="N162" s="105"/>
    </row>
    <row r="163" spans="1:14" hidden="1" x14ac:dyDescent="0.2">
      <c r="A163" s="117" t="s">
        <v>45</v>
      </c>
      <c r="B163" s="157">
        <f>LOOKUP(B$3,partdata!A2:A20,partdata!J2:J20)</f>
        <v>9</v>
      </c>
      <c r="E163" s="122" t="s">
        <v>2</v>
      </c>
      <c r="F163" s="29"/>
      <c r="G163" s="105"/>
      <c r="H163" s="105"/>
      <c r="I163" s="110"/>
      <c r="J163" s="105"/>
      <c r="K163" s="105"/>
      <c r="L163" s="105"/>
      <c r="M163" s="105"/>
      <c r="N163" s="105"/>
    </row>
    <row r="164" spans="1:14" x14ac:dyDescent="0.2">
      <c r="A164" s="113" t="s">
        <v>3</v>
      </c>
      <c r="B164" s="158">
        <f>LOOKUP(B$3,partdata!A2:A20,partdata!K2:K20)</f>
        <v>0.8</v>
      </c>
      <c r="D164" s="105"/>
      <c r="E164" s="117" t="s">
        <v>5</v>
      </c>
      <c r="F164" s="29"/>
      <c r="G164" s="105"/>
      <c r="H164" s="105"/>
      <c r="I164" s="110"/>
      <c r="J164" s="105"/>
      <c r="K164" s="105"/>
      <c r="L164" s="105"/>
      <c r="M164" s="105"/>
      <c r="N164" s="105"/>
    </row>
    <row r="165" spans="1:14" x14ac:dyDescent="0.2">
      <c r="A165" s="113" t="s">
        <v>79</v>
      </c>
      <c r="B165" s="159">
        <f>LOOKUP(B$3,partdata!A2:A20,partdata!N2:N20)</f>
        <v>1.1499999999999999</v>
      </c>
      <c r="D165" s="105"/>
      <c r="E165" s="117" t="s">
        <v>4</v>
      </c>
      <c r="F165" s="119"/>
      <c r="G165" s="105"/>
      <c r="H165" s="105"/>
      <c r="I165" s="110"/>
      <c r="J165" s="105"/>
      <c r="K165" s="105"/>
      <c r="L165" s="105"/>
      <c r="M165" s="105"/>
      <c r="N165" s="105"/>
    </row>
    <row r="166" spans="1:14" x14ac:dyDescent="0.2">
      <c r="A166" s="113" t="s">
        <v>114</v>
      </c>
      <c r="B166" s="159">
        <f>LOOKUP(B$3,partdata!A2:A20,partdata!O2:O20)</f>
        <v>3.4</v>
      </c>
      <c r="D166" s="105"/>
      <c r="E166" s="117" t="s">
        <v>143</v>
      </c>
      <c r="F166" s="33"/>
      <c r="G166" s="105"/>
      <c r="H166" s="105"/>
      <c r="I166" s="110"/>
      <c r="J166" s="105"/>
      <c r="K166" s="105"/>
      <c r="L166" s="105"/>
      <c r="M166" s="105"/>
      <c r="N166" s="105"/>
    </row>
    <row r="167" spans="1:14" x14ac:dyDescent="0.2">
      <c r="A167" s="113" t="s">
        <v>195</v>
      </c>
      <c r="B167" s="160">
        <f>LOOKUP(B$3,partdata!A2:A20,partdata!P2:P20)</f>
        <v>1.21</v>
      </c>
      <c r="D167" s="105"/>
      <c r="E167" s="117" t="s">
        <v>5</v>
      </c>
      <c r="F167" s="105"/>
      <c r="G167" s="105"/>
      <c r="H167" s="105"/>
      <c r="I167" s="110"/>
      <c r="J167" s="105"/>
      <c r="K167" s="105"/>
      <c r="L167" s="3"/>
      <c r="M167" s="105"/>
      <c r="N167" s="105"/>
    </row>
    <row r="168" spans="1:14" x14ac:dyDescent="0.2">
      <c r="A168" s="113" t="s">
        <v>196</v>
      </c>
      <c r="B168" s="160">
        <f>LOOKUP(B$3,partdata!A2:A20,partdata!Q2:Q20)</f>
        <v>1.17</v>
      </c>
      <c r="D168" s="105"/>
      <c r="E168" s="117" t="s">
        <v>5</v>
      </c>
      <c r="F168" s="105"/>
      <c r="H168" s="3"/>
      <c r="I168" s="3"/>
      <c r="J168" s="105"/>
      <c r="K168" s="105"/>
      <c r="L168" s="3"/>
      <c r="M168" s="105"/>
      <c r="N168" s="105"/>
    </row>
    <row r="169" spans="1:14" hidden="1" x14ac:dyDescent="0.2">
      <c r="A169" s="113" t="s">
        <v>204</v>
      </c>
      <c r="B169" s="160">
        <f>LOOKUP(B$3,partdata!A2:A20,partdata!R2:R20)</f>
        <v>10000000</v>
      </c>
      <c r="D169" s="105"/>
      <c r="E169" s="117" t="s">
        <v>237</v>
      </c>
      <c r="F169" s="105"/>
      <c r="H169" s="3"/>
      <c r="I169" s="3"/>
      <c r="J169" s="105"/>
      <c r="K169" s="105"/>
      <c r="L169" s="3"/>
      <c r="M169" s="105"/>
      <c r="N169" s="105"/>
    </row>
    <row r="170" spans="1:14" x14ac:dyDescent="0.2">
      <c r="A170" s="113" t="s">
        <v>28</v>
      </c>
      <c r="B170" s="155">
        <f>LOOKUP(B$3,partdata!A2:A20,partdata!S2:S20)</f>
        <v>1600</v>
      </c>
      <c r="D170" s="105"/>
      <c r="E170" s="117" t="s">
        <v>14</v>
      </c>
      <c r="F170" s="105"/>
      <c r="H170" s="105"/>
      <c r="I170" s="123"/>
      <c r="J170" s="105"/>
      <c r="K170" s="105"/>
      <c r="L170" s="105"/>
      <c r="M170" s="105"/>
      <c r="N170" s="105"/>
    </row>
    <row r="171" spans="1:14" x14ac:dyDescent="0.2">
      <c r="A171" s="113" t="s">
        <v>29</v>
      </c>
      <c r="B171" s="155">
        <f>LOOKUP(B$3,partdata!A2:A20,partdata!T2:T20)</f>
        <v>200</v>
      </c>
      <c r="D171" s="105"/>
      <c r="E171" s="117" t="s">
        <v>14</v>
      </c>
      <c r="F171" s="105"/>
      <c r="H171" s="140"/>
      <c r="I171" s="161"/>
    </row>
    <row r="172" spans="1:14" x14ac:dyDescent="0.2">
      <c r="A172" s="113" t="s">
        <v>83</v>
      </c>
      <c r="B172" s="159">
        <f>LOOKUP(B$3,partdata!A2:A20,partdata!U2:U20)</f>
        <v>11</v>
      </c>
      <c r="D172" s="105"/>
      <c r="E172" s="117" t="s">
        <v>4</v>
      </c>
      <c r="H172" s="140"/>
    </row>
    <row r="173" spans="1:14" x14ac:dyDescent="0.2">
      <c r="A173" s="113" t="s">
        <v>357</v>
      </c>
      <c r="B173" s="159">
        <f>LOOKUP(B$3,partdata!A2:A20,partdata!V2:V20)</f>
        <v>-2</v>
      </c>
      <c r="D173" s="105"/>
      <c r="E173" s="117" t="s">
        <v>4</v>
      </c>
      <c r="H173" s="140"/>
    </row>
    <row r="174" spans="1:14" x14ac:dyDescent="0.2">
      <c r="A174" s="113" t="s">
        <v>15</v>
      </c>
      <c r="B174" s="155">
        <f>LOOKUP(B$3,partdata!A2:A20,partdata!W2:W20)</f>
        <v>600</v>
      </c>
      <c r="D174" s="105"/>
      <c r="E174" s="117" t="s">
        <v>143</v>
      </c>
      <c r="F174" s="105"/>
      <c r="H174" s="140"/>
    </row>
    <row r="175" spans="1:14" x14ac:dyDescent="0.2">
      <c r="A175" s="113" t="s">
        <v>191</v>
      </c>
      <c r="B175" s="155">
        <f>LOOKUP(B$3,partdata!A2:A20,partdata!X2:X20)</f>
        <v>135</v>
      </c>
      <c r="D175" s="105"/>
      <c r="E175" s="117" t="s">
        <v>134</v>
      </c>
      <c r="F175" s="105"/>
      <c r="H175" s="140"/>
    </row>
    <row r="176" spans="1:14" x14ac:dyDescent="0.2">
      <c r="A176" s="113" t="s">
        <v>190</v>
      </c>
      <c r="B176" s="155">
        <f>LOOKUP(B$3,partdata!A2:A20,partdata!Y2:Y20)</f>
        <v>26</v>
      </c>
      <c r="D176" s="105"/>
      <c r="E176" s="117" t="s">
        <v>129</v>
      </c>
      <c r="F176" s="105"/>
      <c r="H176" s="140"/>
    </row>
    <row r="177" spans="1:8" x14ac:dyDescent="0.2">
      <c r="A177" s="113" t="s">
        <v>192</v>
      </c>
      <c r="B177" s="155">
        <f>LOOKUP(B$3,partdata!A2:A20,partdata!Z2:Z20)</f>
        <v>19</v>
      </c>
      <c r="D177" s="105"/>
      <c r="E177" s="117" t="s">
        <v>129</v>
      </c>
      <c r="F177" s="105"/>
      <c r="H177" s="140"/>
    </row>
    <row r="178" spans="1:8" x14ac:dyDescent="0.2">
      <c r="A178" s="113" t="s">
        <v>127</v>
      </c>
      <c r="B178" s="156">
        <f>LOOKUP(B$3,partdata!A2:A20,partdata!AC2:AC20)</f>
        <v>2.2999999999999998</v>
      </c>
      <c r="D178" s="105"/>
      <c r="E178" s="117" t="s">
        <v>143</v>
      </c>
      <c r="F178" s="105"/>
      <c r="G178" s="105"/>
      <c r="H178" s="140"/>
    </row>
    <row r="179" spans="1:8" x14ac:dyDescent="0.2">
      <c r="A179" s="106"/>
      <c r="B179" s="107"/>
      <c r="D179" s="105"/>
      <c r="F179" s="105"/>
      <c r="G179" s="123"/>
      <c r="H179" s="140"/>
    </row>
    <row r="180" spans="1:8" hidden="1" x14ac:dyDescent="0.2">
      <c r="D180" s="105"/>
      <c r="E180" s="109"/>
    </row>
    <row r="181" spans="1:8" x14ac:dyDescent="0.2"/>
    <row r="182" spans="1:8" x14ac:dyDescent="0.2"/>
    <row r="183" spans="1:8" x14ac:dyDescent="0.2"/>
    <row r="184" spans="1:8" x14ac:dyDescent="0.2"/>
    <row r="185" spans="1:8" x14ac:dyDescent="0.2"/>
    <row r="186" spans="1:8" x14ac:dyDescent="0.2"/>
    <row r="187" spans="1:8" x14ac:dyDescent="0.2"/>
    <row r="188" spans="1:8" x14ac:dyDescent="0.2"/>
    <row r="189" spans="1:8" x14ac:dyDescent="0.2"/>
    <row r="190" spans="1:8" x14ac:dyDescent="0.2"/>
    <row r="191" spans="1:8" x14ac:dyDescent="0.2"/>
    <row r="192" spans="1:8" x14ac:dyDescent="0.2"/>
    <row r="193" x14ac:dyDescent="0.2"/>
    <row r="194" x14ac:dyDescent="0.2"/>
    <row r="195" x14ac:dyDescent="0.2"/>
    <row r="196" x14ac:dyDescent="0.2"/>
    <row r="197" x14ac:dyDescent="0.2"/>
  </sheetData>
  <sheetProtection sheet="1" objects="1" scenarios="1"/>
  <mergeCells count="2">
    <mergeCell ref="A1:E1"/>
    <mergeCell ref="F126:F127"/>
  </mergeCells>
  <phoneticPr fontId="2" type="noConversion"/>
  <conditionalFormatting sqref="B8">
    <cfRule type="cellIs" dxfId="16" priority="29" stopIfTrue="1" operator="lessThan">
      <formula>$B$158</formula>
    </cfRule>
  </conditionalFormatting>
  <conditionalFormatting sqref="B7">
    <cfRule type="cellIs" dxfId="15" priority="30" stopIfTrue="1" operator="greaterThan">
      <formula>$B$159</formula>
    </cfRule>
  </conditionalFormatting>
  <conditionalFormatting sqref="B50 B18">
    <cfRule type="cellIs" dxfId="14" priority="18" stopIfTrue="1" operator="greaterThan">
      <formula>MIN($B$49,#REF!)</formula>
    </cfRule>
  </conditionalFormatting>
  <conditionalFormatting sqref="B14">
    <cfRule type="expression" dxfId="13" priority="15" stopIfTrue="1">
      <formula>$B$66&gt;Ilim</formula>
    </cfRule>
  </conditionalFormatting>
  <conditionalFormatting sqref="B9">
    <cfRule type="expression" dxfId="12" priority="39" stopIfTrue="1">
      <formula>$B$9&gt;#REF!</formula>
    </cfRule>
  </conditionalFormatting>
  <conditionalFormatting sqref="B54">
    <cfRule type="cellIs" dxfId="11" priority="8" stopIfTrue="1" operator="lessThan">
      <formula>$B$175</formula>
    </cfRule>
  </conditionalFormatting>
  <conditionalFormatting sqref="B56">
    <cfRule type="cellIs" dxfId="10" priority="7" stopIfTrue="1" operator="lessThan">
      <formula>$B$175</formula>
    </cfRule>
  </conditionalFormatting>
  <conditionalFormatting sqref="B61">
    <cfRule type="cellIs" dxfId="9" priority="5" operator="lessThan">
      <formula>$B$62</formula>
    </cfRule>
  </conditionalFormatting>
  <conditionalFormatting sqref="B73:B75">
    <cfRule type="cellIs" dxfId="8" priority="4" operator="greaterThan">
      <formula>$B$78+$B$81</formula>
    </cfRule>
  </conditionalFormatting>
  <conditionalFormatting sqref="B79">
    <cfRule type="cellIs" dxfId="7" priority="3" operator="lessThan">
      <formula>$B$80</formula>
    </cfRule>
  </conditionalFormatting>
  <conditionalFormatting sqref="B55">
    <cfRule type="cellIs" dxfId="6" priority="2" stopIfTrue="1" operator="lessThan">
      <formula>$B$175</formula>
    </cfRule>
  </conditionalFormatting>
  <conditionalFormatting sqref="B66:D67">
    <cfRule type="cellIs" dxfId="5" priority="40" stopIfTrue="1" operator="greaterThan">
      <formula>$B$172</formula>
    </cfRule>
  </conditionalFormatting>
  <conditionalFormatting sqref="B152:D152">
    <cfRule type="cellIs" dxfId="4" priority="43" stopIfTrue="1" operator="greaterThan">
      <formula>$B$155</formula>
    </cfRule>
  </conditionalFormatting>
  <conditionalFormatting sqref="B67:D67">
    <cfRule type="cellIs" dxfId="3" priority="1" operator="lessThan">
      <formula>Ilim_rev</formula>
    </cfRule>
  </conditionalFormatting>
  <dataValidations count="1">
    <dataValidation type="list" allowBlank="1" showInputMessage="1" showErrorMessage="1" promptTitle="Select Device" prompt="Please select a device." sqref="B3">
      <formula1>$E$8:$E$22</formula1>
    </dataValidation>
  </dataValidations>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Visio.Drawing.11" shapeId="13492" r:id="rId4">
          <objectPr defaultSize="0" autoPict="0" r:id="rId5">
            <anchor moveWithCells="1">
              <from>
                <xdr:col>0</xdr:col>
                <xdr:colOff>38100</xdr:colOff>
                <xdr:row>21</xdr:row>
                <xdr:rowOff>85725</xdr:rowOff>
              </from>
              <to>
                <xdr:col>3</xdr:col>
                <xdr:colOff>190500</xdr:colOff>
                <xdr:row>44</xdr:row>
                <xdr:rowOff>114300</xdr:rowOff>
              </to>
            </anchor>
          </objectPr>
        </oleObject>
      </mc:Choice>
      <mc:Fallback>
        <oleObject progId="Visio.Drawing.11" shapeId="13492"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V212"/>
  <sheetViews>
    <sheetView zoomScale="85" zoomScaleNormal="85" workbookViewId="0">
      <selection activeCell="B11" sqref="B11"/>
    </sheetView>
  </sheetViews>
  <sheetFormatPr defaultColWidth="9.140625" defaultRowHeight="12.75" x14ac:dyDescent="0.2"/>
  <cols>
    <col min="1" max="1" width="12.28515625" style="197" customWidth="1"/>
    <col min="2" max="2" width="11.28515625" style="195" customWidth="1"/>
    <col min="3" max="3" width="13.5703125" style="195" customWidth="1"/>
    <col min="4" max="4" width="5.5703125" style="172" bestFit="1" customWidth="1"/>
    <col min="5" max="5" width="2.7109375" style="172" customWidth="1"/>
    <col min="6" max="6" width="4.7109375" style="195" customWidth="1"/>
    <col min="7" max="7" width="12.7109375" style="195" bestFit="1" customWidth="1"/>
    <col min="8" max="8" width="12.7109375" style="195" customWidth="1"/>
    <col min="9" max="9" width="12.42578125" style="196" customWidth="1"/>
    <col min="10" max="10" width="7.7109375" style="195" bestFit="1" customWidth="1"/>
    <col min="11" max="11" width="9.7109375" style="195" bestFit="1" customWidth="1"/>
    <col min="12" max="12" width="9.85546875" style="195" customWidth="1"/>
    <col min="13" max="17" width="16.7109375" style="195" customWidth="1"/>
    <col min="18" max="18" width="15.7109375" style="195" customWidth="1"/>
    <col min="19" max="20" width="9.28515625" style="195" customWidth="1"/>
    <col min="21" max="21" width="18.28515625" style="195" customWidth="1"/>
    <col min="22" max="23" width="9.28515625" style="195" customWidth="1"/>
    <col min="24" max="24" width="13.5703125" style="195" customWidth="1"/>
    <col min="25" max="26" width="9.28515625" style="195" customWidth="1"/>
    <col min="27" max="27" width="12.42578125" style="195" customWidth="1"/>
    <col min="28" max="28" width="9.140625" style="195"/>
    <col min="29" max="30" width="9.28515625" style="195" customWidth="1"/>
    <col min="31" max="31" width="9.140625" style="195"/>
    <col min="32" max="33" width="9.28515625" style="195" customWidth="1"/>
    <col min="34" max="36" width="9.140625" style="195"/>
    <col min="37" max="37" width="10.42578125" style="195" customWidth="1"/>
    <col min="38" max="40" width="9.140625" style="195"/>
    <col min="41" max="41" width="15" style="195" customWidth="1"/>
    <col min="42" max="42" width="12.5703125" style="195" customWidth="1"/>
    <col min="43" max="43" width="13.42578125" style="195" customWidth="1"/>
    <col min="44" max="45" width="9.140625" style="195"/>
    <col min="46" max="46" width="18.5703125" style="195" customWidth="1"/>
    <col min="47" max="47" width="13.5703125" style="195" customWidth="1"/>
    <col min="48" max="48" width="16.28515625" style="195" customWidth="1"/>
    <col min="49" max="16384" width="9.140625" style="172"/>
  </cols>
  <sheetData>
    <row r="1" spans="1:48" s="209" customFormat="1" ht="51" x14ac:dyDescent="0.2">
      <c r="A1" s="127"/>
      <c r="B1" s="169" t="s">
        <v>181</v>
      </c>
      <c r="C1" s="169" t="s">
        <v>182</v>
      </c>
      <c r="D1" s="169" t="s">
        <v>9</v>
      </c>
      <c r="F1" s="192"/>
      <c r="G1" s="193" t="s">
        <v>326</v>
      </c>
      <c r="H1" s="193" t="s">
        <v>327</v>
      </c>
      <c r="I1" s="193" t="s">
        <v>328</v>
      </c>
      <c r="J1" s="193" t="s">
        <v>256</v>
      </c>
      <c r="K1" s="193" t="s">
        <v>257</v>
      </c>
      <c r="L1" s="192" t="s">
        <v>33</v>
      </c>
      <c r="M1" s="194" t="s">
        <v>34</v>
      </c>
      <c r="N1" s="192" t="s">
        <v>68</v>
      </c>
      <c r="O1" s="192" t="s">
        <v>69</v>
      </c>
      <c r="P1" s="192" t="s">
        <v>70</v>
      </c>
      <c r="Q1" s="192" t="s">
        <v>71</v>
      </c>
      <c r="R1" s="193" t="s">
        <v>307</v>
      </c>
      <c r="S1" s="192" t="s">
        <v>49</v>
      </c>
      <c r="T1" s="193" t="s">
        <v>50</v>
      </c>
      <c r="U1" s="193" t="s">
        <v>306</v>
      </c>
      <c r="V1" s="192" t="s">
        <v>49</v>
      </c>
      <c r="W1" s="193" t="s">
        <v>50</v>
      </c>
      <c r="X1" s="193" t="s">
        <v>51</v>
      </c>
      <c r="Y1" s="193" t="s">
        <v>52</v>
      </c>
      <c r="Z1" s="193" t="s">
        <v>53</v>
      </c>
      <c r="AA1" s="193" t="s">
        <v>203</v>
      </c>
      <c r="AB1" s="193" t="s">
        <v>67</v>
      </c>
      <c r="AC1" s="192" t="s">
        <v>49</v>
      </c>
      <c r="AD1" s="193" t="s">
        <v>54</v>
      </c>
      <c r="AE1" s="193" t="s">
        <v>72</v>
      </c>
      <c r="AF1" s="192" t="s">
        <v>49</v>
      </c>
      <c r="AG1" s="193" t="s">
        <v>54</v>
      </c>
      <c r="AH1" s="192"/>
      <c r="AI1" s="192" t="s">
        <v>316</v>
      </c>
      <c r="AJ1" s="192" t="s">
        <v>317</v>
      </c>
      <c r="AK1" s="192" t="s">
        <v>318</v>
      </c>
      <c r="AL1" s="193" t="s">
        <v>304</v>
      </c>
      <c r="AM1" s="193" t="s">
        <v>303</v>
      </c>
      <c r="AN1" s="193" t="s">
        <v>305</v>
      </c>
      <c r="AO1" s="193" t="s">
        <v>310</v>
      </c>
      <c r="AP1" s="193" t="s">
        <v>309</v>
      </c>
      <c r="AQ1" s="193" t="s">
        <v>308</v>
      </c>
      <c r="AR1" s="193"/>
      <c r="AS1" s="193" t="s">
        <v>312</v>
      </c>
      <c r="AT1" s="193" t="s">
        <v>313</v>
      </c>
      <c r="AU1" s="193" t="s">
        <v>314</v>
      </c>
      <c r="AV1" s="193" t="s">
        <v>315</v>
      </c>
    </row>
    <row r="2" spans="1:48" x14ac:dyDescent="0.2">
      <c r="A2" s="117" t="s">
        <v>38</v>
      </c>
      <c r="B2" s="171">
        <f>C2</f>
        <v>12</v>
      </c>
      <c r="C2" s="217">
        <f>'Design Equations CCM'!B6</f>
        <v>12</v>
      </c>
      <c r="D2" s="105" t="s">
        <v>5</v>
      </c>
      <c r="F2" s="195">
        <v>0</v>
      </c>
      <c r="G2" s="210">
        <f t="shared" ref="G2:G65" si="0">DEGREES((ATAN(10)+ATAN(L2/(fsw/6))-ATAN(L2/(fsw/6*Vo_ss/Vref))-ATAN(MAX(1/10,L2/(fsw/2)))))+90</f>
        <v>168.579086562046</v>
      </c>
      <c r="H2" s="210">
        <f t="shared" ref="H2:H65" si="1">DEGREES((ATAN(10)-ATAN(MAX(1/10,L2/(fsw/2)))))+90</f>
        <v>168.57881372500071</v>
      </c>
      <c r="I2" s="196">
        <f t="shared" ref="I2:I65" si="2">IF(fz_cff&gt;fsw/4,IF(AV2+H2&gt;65,1,0),IF(AV2+G2&gt;65,1,0))</f>
        <v>1</v>
      </c>
      <c r="J2" s="195">
        <f>IF(P2&gt;0,1,0)</f>
        <v>1</v>
      </c>
      <c r="K2" s="195">
        <f>IF(Q2&gt;0,1,0)</f>
        <v>1</v>
      </c>
      <c r="L2" s="195">
        <f>10^('Small Signal'!F2/30)</f>
        <v>1</v>
      </c>
      <c r="M2" s="195" t="str">
        <f>COMPLEX(0,L2*2*PI())</f>
        <v>6.28318530717959i</v>
      </c>
      <c r="N2" s="195">
        <f>IF(D$32=1, IF(AND('Small Signal'!$B$62&gt;=1,FCCM=0),V2+0,S2+0), 0)</f>
        <v>9.1386916489550796</v>
      </c>
      <c r="O2" s="195">
        <f>IF(D$32=1, IF(AND('Small Signal'!$B$62&gt;=1,FCCM=0),W2,T2), 0)</f>
        <v>-1.3428390705353042E-2</v>
      </c>
      <c r="P2" s="195">
        <f>IF(AND('Small Signal'!$B$62&gt;=1,FCCM=0),AF2+0,AC2+0)</f>
        <v>62.126700714276666</v>
      </c>
      <c r="Q2" s="195">
        <f>IF(AND('Small Signal'!$B$62&gt;=1,FCCM=0),AG2,AD2)</f>
        <v>179.47514210920926</v>
      </c>
      <c r="R2" s="195" t="str">
        <f>IMDIV(IMSUM('Small Signal'!$B$2*'Small Signal'!$B$39*'Small Signal'!$B$63,IMPRODUCT(M2,'Small Signal'!$B$2*'Small Signal'!$B$39*'Small Signal'!$B$63*'Small Signal'!$B$14*'Small Signal'!$B$15)),IMSUM(IMPRODUCT('Small Signal'!$B$12*'Small Signal'!$B$14*('Small Signal'!$B$15+'Small Signal'!$B$39),IMPOWER(M2,2)),IMSUM(IMPRODUCT(M2,('Small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2.61462158940608-0.000568988800464405i</v>
      </c>
      <c r="S2" s="195">
        <f>AP2</f>
        <v>9.1386916489550796</v>
      </c>
      <c r="T2" s="195">
        <f>AQ2</f>
        <v>-1.3428390705353042E-2</v>
      </c>
      <c r="U2" s="195" t="str">
        <f>IMDIV(IMSUM('Small Signal'!$B$75,IMPRODUCT(M2,'Small Signal'!$B$76)),IMSUM(IMPRODUCT('Small Signal'!$B$79,IMPOWER(M2,2)),IMSUM(IMPRODUCT(M2,'Small Signal'!$B$78),'Small Signal'!$B$77)))</f>
        <v>3.06205032100034-0.000511372396949263i</v>
      </c>
      <c r="V2" s="195">
        <f t="shared" ref="V2:V65" si="3">20*LOG(IMABS(U2))</f>
        <v>9.7202465913692961</v>
      </c>
      <c r="W2" s="195">
        <f t="shared" ref="W2:W65" si="4">(180/PI())*IMARGUMENT(U2)</f>
        <v>-9.5685820808853253E-3</v>
      </c>
      <c r="X2" s="195" t="str">
        <f>IMPRODUCT(IMDIV(IMSUM(IMPRODUCT(M2,'Small Signal'!$B$58*'Small Signal'!$B$6*'Small Signal'!$B$51*'Small Signal'!$B$7*'Small Signal'!$B$8),'Small Signal'!$B$58*'Small Signal'!$B$6*'Small Signal'!$B$51),IMSUM(IMSUM(IMPRODUCT(M2,('Small Signal'!$B$5+'Small Signal'!$B$6)*('Small Signal'!$B$57*'Small Signal'!$B$58)+'Small Signal'!$B$5*'Small Signal'!$B$58*('Small Signal'!$B$8+'Small Signal'!$B$9)+'Small Signal'!$B$6*'Small Signal'!$B$58*('Small Signal'!$B$8+'Small Signal'!$B$9)+'Small Signal'!$B$7*'Small Signal'!$B$8*('Small Signal'!$B$5+'Small Signal'!$B$6)),'Small Signal'!$B$6+'Small Signal'!$B$5),IMPRODUCT(IMPOWER(M2,2),'Small Signal'!$B$57*'Small Signal'!$B$58*'Small Signal'!$B$8*'Small Signal'!$B$7*('Small Signal'!$B$5+'Small Signal'!$B$6)+('Small Signal'!$B$5+'Small Signal'!$B$6)*('Small Signal'!$B$9*'Small Signal'!$B$8*'Small Signal'!$B$58*'Small Signal'!$B$7)))),-1)</f>
        <v>-446.049581743099+3.9833483025216i</v>
      </c>
      <c r="Y2" s="195">
        <f t="shared" ref="Y2:Y65" si="5">IF(D$33=1, 20*LOG(IMABS(AA2))+20*LOG(IMABS(X2)), 0)</f>
        <v>52.98800906532162</v>
      </c>
      <c r="Z2" s="195">
        <f t="shared" ref="Z2:Z65" si="6">IF(D$33=1, (180/PI())*IMARGUMENT(AA2)+(180/PI())*IMARGUMENT(X2), 0)</f>
        <v>179.4885704999146</v>
      </c>
      <c r="AA2" s="195" t="str">
        <f t="shared" ref="AA2:AA65" si="7">IMDIV(COMPLEX(1,IMABS(M2)/(2*PI()*fz_cff)),COMPLEX(1,IMABS(M2)/(2*PI()*fp_cff)))</f>
        <v>1.00000000001235+3.91538966239296E-06i</v>
      </c>
      <c r="AB2" s="195" t="str">
        <f t="shared" ref="AB2:AB65" si="8">IMPRODUCT(AO2,X2,AA2)</f>
        <v>-1277.37029824172+11.7016757608589i</v>
      </c>
      <c r="AC2" s="192">
        <f>20*LOG(IMABS(AB2))</f>
        <v>62.126700714276666</v>
      </c>
      <c r="AD2" s="195">
        <f>(180/PI())*IMARGUMENT(AB2)</f>
        <v>179.47514210920926</v>
      </c>
      <c r="AE2" s="195" t="str">
        <f t="shared" ref="AE2:AE65" si="9">IMPRODUCT(U2,X2)</f>
        <v>-1365.82422798415+12.4253103921666i</v>
      </c>
      <c r="AF2" s="192">
        <f t="shared" ref="AF2:AF65" si="10">20*LOG(IMABS(AE2))</f>
        <v>62.708255656517046</v>
      </c>
      <c r="AG2" s="195">
        <f t="shared" ref="AG2:AG65" si="11">(180/PI())*IMARGUMENT(AE2)</f>
        <v>179.47877758253094</v>
      </c>
      <c r="AI2" s="195" t="str">
        <f t="shared" ref="AI2:AI65" si="12">IMSUM(ESR_ss,IMDIV(1,IMPRODUCT(Co_ss,M2)))</f>
        <v>0.002-795.774715459475i</v>
      </c>
      <c r="AJ2" s="195">
        <f t="shared" ref="AJ2:AJ65" si="13">Ro</f>
        <v>0.22500000000000001</v>
      </c>
      <c r="AK2" s="195" t="str">
        <f t="shared" ref="AK2:AK65" si="14">IMSUM(ESR2_ss,IMDIV(1,IMPRODUCT(Co2_ss,M2)))</f>
        <v>0.0375-1591549.43091895i</v>
      </c>
      <c r="AL2" s="195" t="str">
        <f t="shared" ref="AL2:AL65" si="15">IMDIV(1,(IMSUM(IMDIV(1,AI2),IMDIV(1,AJ2),IMDIV(1,AK2))))</f>
        <v>0.224999981834767-0.0000636490546765127i</v>
      </c>
      <c r="AM2" s="195" t="str">
        <f t="shared" ref="AM2:AM65" si="16">IMDIV(IMPRODUCT(Re,IMDIV(1,IMPRODUCT(Ce,M2))),IMSUM(Re,IMDIV(1,IMPRODUCT(Ce,M2))))</f>
        <v>0.898502495839621-7.61403599831116E-07i</v>
      </c>
      <c r="AN2" s="195" t="str">
        <f t="shared" ref="AN2:AN65" si="17">IMSUM(Rdc_ss,IMPRODUCT(Lo_ss,M2))</f>
        <v>0.006+8.65540833131882E-06i</v>
      </c>
      <c r="AO2" s="195" t="str">
        <f>IMDIV(IMPRODUCT(AL2,AM2),IMPRODUCT(Ri,IMSUM(AM2,AL2,AN2)))</f>
        <v>2.8637464941064-0.000671175221540957i</v>
      </c>
      <c r="AP2" s="195">
        <f>20*LOG(IMABS(AO2))</f>
        <v>9.1386916489550796</v>
      </c>
      <c r="AQ2" s="195">
        <f>(180/PI())*IMARGUMENT(AO2)</f>
        <v>-1.3428390705353042E-2</v>
      </c>
      <c r="AS2" s="195" t="str">
        <f t="shared" ref="AS2:AS65" si="18">IMDIV(IMPRODUCT(Re_vimax,IMDIV(1,IMPRODUCT(Ce,M2))),IMSUM(Re_vimax,IMDIV(1,IMPRODUCT(Ce,M2))))</f>
        <v>0.921951219511498-8.01663732389461E-07i</v>
      </c>
      <c r="AT2" s="195" t="str">
        <f>IMDIV(IMPRODUCT(AL2,AS2),IMPRODUCT(Ri,IMSUM(AS2,AL2,AN2)))</f>
        <v>2.87872041365979-0.000677537841550341i</v>
      </c>
      <c r="AU2" s="195">
        <f>20*LOG(IMABS(AT2))</f>
        <v>9.1839899903713036</v>
      </c>
      <c r="AV2" s="195">
        <f>(180/PI())*IMARGUMENT(AT2)</f>
        <v>-1.3485178303604959E-2</v>
      </c>
    </row>
    <row r="3" spans="1:48" x14ac:dyDescent="0.2">
      <c r="A3" s="117" t="s">
        <v>39</v>
      </c>
      <c r="B3" s="171">
        <f>C3</f>
        <v>1.8</v>
      </c>
      <c r="C3" s="217">
        <f>'Design Equations CCM'!B9</f>
        <v>1.8</v>
      </c>
      <c r="D3" s="105" t="s">
        <v>5</v>
      </c>
      <c r="F3" s="195">
        <v>1</v>
      </c>
      <c r="G3" s="210">
        <f t="shared" si="0"/>
        <v>168.57910832766558</v>
      </c>
      <c r="H3" s="210">
        <f t="shared" si="1"/>
        <v>168.57881372500071</v>
      </c>
      <c r="I3" s="196">
        <f t="shared" si="2"/>
        <v>1</v>
      </c>
      <c r="J3" s="195">
        <f t="shared" ref="J3:J66" si="19">IF(P3&gt;0,1,0)</f>
        <v>1</v>
      </c>
      <c r="K3" s="195">
        <f t="shared" ref="K3:K66" si="20">IF(Q3&gt;0,1,0)</f>
        <v>1</v>
      </c>
      <c r="L3" s="195">
        <f>10^('Small Signal'!F3/30)</f>
        <v>1.0797751623277096</v>
      </c>
      <c r="M3" s="195" t="str">
        <f t="shared" ref="M3:M65" si="21">COMPLEX(0,L3*2*PI())</f>
        <v>6.78442743499492i</v>
      </c>
      <c r="N3" s="195">
        <f>IF(D$32=1, IF(AND('Small Signal'!$B$62&gt;=1,FCCM=0),V3+0,S3+0), 0)</f>
        <v>9.1386916116906285</v>
      </c>
      <c r="O3" s="195">
        <f>IF(D$32=1, IF(AND('Small Signal'!$B$62&gt;=1,FCCM=0),W3,T3), 0)</f>
        <v>-1.4499642713511843E-2</v>
      </c>
      <c r="P3" s="195">
        <f>IF(AND('Small Signal'!$B$62&gt;=1,FCCM=0),AF3+0,AC3+0)</f>
        <v>62.126641544611978</v>
      </c>
      <c r="Q3" s="195">
        <f>IF(AND('Small Signal'!$B$62&gt;=1,FCCM=0),AG3,AD3)</f>
        <v>179.43327403033484</v>
      </c>
      <c r="R3" s="195" t="str">
        <f>IMDIV(IMSUM('Small Signal'!$B$2*'Small Signal'!$B$39*'Small Signal'!$B$63,IMPRODUCT(M3,'Small Signal'!$B$2*'Small Signal'!$B$39*'Small Signal'!$B$63*'Small Signal'!$B$14*'Small Signal'!$B$15)),IMSUM(IMPRODUCT('Small Signal'!$B$12*'Small Signal'!$B$14*('Small Signal'!$B$15+'Small Signal'!$B$39),IMPOWER(M3,2)),IMSUM(IMPRODUCT(M3,('Small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2.61462156989406-0.000614379970044461i</v>
      </c>
      <c r="S3" s="195">
        <f t="shared" ref="S3:S66" si="22">AP3</f>
        <v>9.1386916116906285</v>
      </c>
      <c r="T3" s="195">
        <f t="shared" ref="T3:T66" si="23">AQ3</f>
        <v>-1.4499642713511843E-2</v>
      </c>
      <c r="U3" s="195" t="str">
        <f>IMDIV(IMSUM('Small Signal'!$B$75,IMPRODUCT(M3,'Small Signal'!$B$76)),IMSUM(IMPRODUCT('Small Signal'!$B$79,IMPOWER(M3,2)),IMSUM(IMPRODUCT(M3,'Small Signal'!$B$78),'Small Signal'!$B$77)))</f>
        <v>3.06205030986934-0.000552167211474711i</v>
      </c>
      <c r="V3" s="195">
        <f t="shared" si="3"/>
        <v>9.7202465798912208</v>
      </c>
      <c r="W3" s="195">
        <f t="shared" si="4"/>
        <v>-1.0331917264103299E-2</v>
      </c>
      <c r="X3" s="195" t="str">
        <f>IMPRODUCT(IMDIV(IMSUM(IMPRODUCT(M3,'Small Signal'!$B$58*'Small Signal'!$B$6*'Small Signal'!$B$51*'Small Signal'!$B$7*'Small Signal'!$B$8),'Small Signal'!$B$58*'Small Signal'!$B$6*'Small Signal'!$B$51),IMSUM(IMSUM(IMPRODUCT(M3,('Small Signal'!$B$5+'Small Signal'!$B$6)*('Small Signal'!$B$57*'Small Signal'!$B$58)+'Small Signal'!$B$5*'Small Signal'!$B$58*('Small Signal'!$B$8+'Small Signal'!$B$9)+'Small Signal'!$B$6*'Small Signal'!$B$58*('Small Signal'!$B$8+'Small Signal'!$B$9)+'Small Signal'!$B$7*'Small Signal'!$B$8*('Small Signal'!$B$5+'Small Signal'!$B$6)),'Small Signal'!$B$6+'Small Signal'!$B$5),IMPRODUCT(IMPOWER(M3,2),'Small Signal'!$B$57*'Small Signal'!$B$58*'Small Signal'!$B$8*'Small Signal'!$B$7*('Small Signal'!$B$5+'Small Signal'!$B$6)+('Small Signal'!$B$5+'Small Signal'!$B$6)*('Small Signal'!$B$9*'Small Signal'!$B$8*'Small Signal'!$B$58*'Small Signal'!$B$7)))),-1)</f>
        <v>-446.043594409062+4.30106198501971i</v>
      </c>
      <c r="Y3" s="195">
        <f t="shared" si="5"/>
        <v>52.987949932921367</v>
      </c>
      <c r="Z3" s="195">
        <f t="shared" si="6"/>
        <v>179.44777367304835</v>
      </c>
      <c r="AA3" s="195" t="str">
        <f t="shared" si="7"/>
        <v>1.00000000001439+4.22774050827961E-06i</v>
      </c>
      <c r="AB3" s="195" t="str">
        <f t="shared" si="8"/>
        <v>-1277.3527048071+12.6350067239637i</v>
      </c>
      <c r="AC3" s="192">
        <f t="shared" ref="AC3:AC65" si="24">20*LOG(IMABS(AB3))</f>
        <v>62.126641544611978</v>
      </c>
      <c r="AD3" s="195">
        <f t="shared" ref="AD3:AD65" si="25">(180/PI())*IMARGUMENT(AB3)</f>
        <v>179.43327403033484</v>
      </c>
      <c r="AE3" s="195" t="str">
        <f t="shared" si="9"/>
        <v>-1365.8055515701+13.4163588317179i</v>
      </c>
      <c r="AF3" s="192">
        <f t="shared" si="10"/>
        <v>62.708196512609973</v>
      </c>
      <c r="AG3" s="195">
        <f t="shared" si="11"/>
        <v>179.43719952409623</v>
      </c>
      <c r="AI3" s="195" t="str">
        <f t="shared" si="12"/>
        <v>0.002-736.981867358385i</v>
      </c>
      <c r="AJ3" s="195">
        <f t="shared" si="13"/>
        <v>0.22500000000000001</v>
      </c>
      <c r="AK3" s="195" t="str">
        <f t="shared" si="14"/>
        <v>0.0375-1473963.73471677i</v>
      </c>
      <c r="AL3" s="195" t="str">
        <f t="shared" si="15"/>
        <v>0.224999978820894-0.0000687266674165685i</v>
      </c>
      <c r="AM3" s="195" t="str">
        <f t="shared" si="16"/>
        <v>0.898502495839514-8.22144695604441E-07i</v>
      </c>
      <c r="AN3" s="195" t="str">
        <f t="shared" si="17"/>
        <v>0.006+9.34589493596239E-06i</v>
      </c>
      <c r="AO3" s="195" t="str">
        <f t="shared" ref="AO3:AO65" si="26">IMDIV(IMPRODUCT(AL3,AM3),IMPRODUCT(Ri,IMSUM(AM3,AL3,AN3)))</f>
        <v>2.86374646877085-0.000724718327572424i</v>
      </c>
      <c r="AP3" s="195">
        <f t="shared" ref="AP3:AP66" si="27">20*LOG(IMABS(AO3))</f>
        <v>9.1386916116906285</v>
      </c>
      <c r="AQ3" s="195">
        <f t="shared" ref="AQ3:AQ66" si="28">(180/PI())*IMARGUMENT(AO3)</f>
        <v>-1.4499642713511843E-2</v>
      </c>
      <c r="AS3" s="195" t="str">
        <f t="shared" si="18"/>
        <v>0.921951219511382-8.65616586772953E-07i</v>
      </c>
      <c r="AT3" s="195" t="str">
        <f t="shared" ref="AT3:AT65" si="29">IMDIV(IMPRODUCT(AL3,AS3),IMPRODUCT(Ri,IMSUM(AS3,AL3,AN3)))</f>
        <v>2.87872038794698-0.000731588526498975i</v>
      </c>
      <c r="AU3" s="195">
        <f t="shared" ref="AU3:AU66" si="30">20*LOG(IMABS(AT3))</f>
        <v>9.1839899527037314</v>
      </c>
      <c r="AV3" s="195">
        <f t="shared" ref="AV3:AV66" si="31">(180/PI())*IMARGUMENT(AT3)</f>
        <v>-1.4560960550973055E-2</v>
      </c>
    </row>
    <row r="4" spans="1:48" x14ac:dyDescent="0.2">
      <c r="A4" s="117" t="s">
        <v>78</v>
      </c>
      <c r="B4" s="171">
        <f t="shared" ref="B4:B17" si="32">C4</f>
        <v>8</v>
      </c>
      <c r="C4" s="217">
        <f>Iout</f>
        <v>8</v>
      </c>
      <c r="D4" s="105" t="s">
        <v>4</v>
      </c>
      <c r="F4" s="195">
        <v>2</v>
      </c>
      <c r="G4" s="210">
        <f t="shared" si="0"/>
        <v>168.579131829641</v>
      </c>
      <c r="H4" s="210">
        <f t="shared" si="1"/>
        <v>168.57881372500071</v>
      </c>
      <c r="I4" s="196">
        <f t="shared" si="2"/>
        <v>1</v>
      </c>
      <c r="J4" s="195">
        <f t="shared" si="19"/>
        <v>1</v>
      </c>
      <c r="K4" s="195">
        <f t="shared" si="20"/>
        <v>1</v>
      </c>
      <c r="L4" s="195">
        <f>10^('Small Signal'!F4/30)</f>
        <v>1.1659144011798317</v>
      </c>
      <c r="M4" s="195" t="str">
        <f t="shared" si="21"/>
        <v>7.3256562349222i</v>
      </c>
      <c r="N4" s="195">
        <f>IF(D$32=1, IF(AND('Small Signal'!$B$62&gt;=1,FCCM=0),V4+0,S4+0), 0)</f>
        <v>9.1386915682434129</v>
      </c>
      <c r="O4" s="195">
        <f>IF(D$32=1, IF(AND('Small Signal'!$B$62&gt;=1,FCCM=0),W4,T4), 0)</f>
        <v>-1.5656354014116799E-2</v>
      </c>
      <c r="P4" s="195">
        <f>IF(AND('Small Signal'!$B$62&gt;=1,FCCM=0),AF4+0,AC4+0)</f>
        <v>62.126572558864851</v>
      </c>
      <c r="Q4" s="195">
        <f>IF(AND('Small Signal'!$B$62&gt;=1,FCCM=0),AG4,AD4)</f>
        <v>179.38806657746701</v>
      </c>
      <c r="R4" s="195" t="str">
        <f>IMDIV(IMSUM('Small Signal'!$B$2*'Small Signal'!$B$39*'Small Signal'!$B$63,IMPRODUCT(M4,'Small Signal'!$B$2*'Small Signal'!$B$39*'Small Signal'!$B$63*'Small Signal'!$B$14*'Small Signal'!$B$15)),IMSUM(IMPRODUCT('Small Signal'!$B$12*'Small Signal'!$B$14*('Small Signal'!$B$15+'Small Signal'!$B$39),IMPOWER(M4,2)),IMSUM(IMPRODUCT(M4,('Small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2.61462154714471-0.000663392226422367i</v>
      </c>
      <c r="S4" s="195">
        <f t="shared" si="22"/>
        <v>9.1386915682434129</v>
      </c>
      <c r="T4" s="195">
        <f t="shared" si="23"/>
        <v>-1.5656354014116799E-2</v>
      </c>
      <c r="U4" s="195" t="str">
        <f>IMDIV(IMSUM('Small Signal'!$B$75,IMPRODUCT(M4,'Small Signal'!$B$76)),IMSUM(IMPRODUCT('Small Signal'!$B$79,IMPOWER(M4,2)),IMSUM(IMPRODUCT(M4,'Small Signal'!$B$78),'Small Signal'!$B$77)))</f>
        <v>3.06205029689155-0.00059621643857533i</v>
      </c>
      <c r="V4" s="195">
        <f t="shared" si="3"/>
        <v>9.7202465665087789</v>
      </c>
      <c r="W4" s="195">
        <f t="shared" si="4"/>
        <v>-1.1156147634040874E-2</v>
      </c>
      <c r="X4" s="195" t="str">
        <f>IMPRODUCT(IMDIV(IMSUM(IMPRODUCT(M4,'Small Signal'!$B$58*'Small Signal'!$B$6*'Small Signal'!$B$51*'Small Signal'!$B$7*'Small Signal'!$B$8),'Small Signal'!$B$58*'Small Signal'!$B$6*'Small Signal'!$B$51),IMSUM(IMSUM(IMPRODUCT(M4,('Small Signal'!$B$5+'Small Signal'!$B$6)*('Small Signal'!$B$57*'Small Signal'!$B$58)+'Small Signal'!$B$5*'Small Signal'!$B$58*('Small Signal'!$B$8+'Small Signal'!$B$9)+'Small Signal'!$B$6*'Small Signal'!$B$58*('Small Signal'!$B$8+'Small Signal'!$B$9)+'Small Signal'!$B$7*'Small Signal'!$B$8*('Small Signal'!$B$5+'Small Signal'!$B$6)),'Small Signal'!$B$6+'Small Signal'!$B$5),IMPRODUCT(IMPOWER(M4,2),'Small Signal'!$B$57*'Small Signal'!$B$58*'Small Signal'!$B$8*'Small Signal'!$B$7*('Small Signal'!$B$5+'Small Signal'!$B$6)+('Small Signal'!$B$5+'Small Signal'!$B$6)*('Small Signal'!$B$9*'Small Signal'!$B$8*'Small Signal'!$B$58*'Small Signal'!$B$7)))),-1)</f>
        <v>-446.036613895987+4.64410616374658i</v>
      </c>
      <c r="Y4" s="195">
        <f t="shared" si="5"/>
        <v>52.987880990621406</v>
      </c>
      <c r="Z4" s="195">
        <f t="shared" si="6"/>
        <v>179.40372293148113</v>
      </c>
      <c r="AA4" s="195" t="str">
        <f t="shared" si="7"/>
        <v>1.00000000001678+4.56500919359827E-06i</v>
      </c>
      <c r="AB4" s="195" t="str">
        <f t="shared" si="8"/>
        <v>-1277.33219297336+13.6427497562472i</v>
      </c>
      <c r="AC4" s="192">
        <f t="shared" si="24"/>
        <v>62.126572558864851</v>
      </c>
      <c r="AD4" s="195">
        <f t="shared" si="25"/>
        <v>179.38806657746701</v>
      </c>
      <c r="AE4" s="195" t="str">
        <f t="shared" si="9"/>
        <v>-1365.78377711227+14.4864210189074i</v>
      </c>
      <c r="AF4" s="192">
        <f t="shared" si="10"/>
        <v>62.70812755689392</v>
      </c>
      <c r="AG4" s="195">
        <f t="shared" si="11"/>
        <v>179.39230522808685</v>
      </c>
      <c r="AI4" s="195" t="str">
        <f t="shared" si="12"/>
        <v>0.002-682.532709651929i</v>
      </c>
      <c r="AJ4" s="195">
        <f t="shared" si="13"/>
        <v>0.22500000000000001</v>
      </c>
      <c r="AK4" s="195" t="str">
        <f t="shared" si="14"/>
        <v>0.0375-1365065.41930386i</v>
      </c>
      <c r="AL4" s="195" t="str">
        <f t="shared" si="15"/>
        <v>0.224999975306976-0.0000742093472967176i</v>
      </c>
      <c r="AM4" s="195" t="str">
        <f t="shared" si="16"/>
        <v>0.898502495839389-8.87731422153027E-07i</v>
      </c>
      <c r="AN4" s="195" t="str">
        <f t="shared" si="17"/>
        <v>0.006+0.0000100914652215765i</v>
      </c>
      <c r="AO4" s="195" t="str">
        <f t="shared" si="26"/>
        <v>2.86374643923175-0.00078253284196926i</v>
      </c>
      <c r="AP4" s="195">
        <f t="shared" si="27"/>
        <v>9.1386915682434129</v>
      </c>
      <c r="AQ4" s="195">
        <f t="shared" si="28"/>
        <v>-1.5656354014116799E-2</v>
      </c>
      <c r="AS4" s="195" t="str">
        <f t="shared" si="18"/>
        <v>0.921951219511247-9.34671290496185E-07i</v>
      </c>
      <c r="AT4" s="195" t="str">
        <f t="shared" si="29"/>
        <v>2.87872035796808-0.000789951111970632i</v>
      </c>
      <c r="AU4" s="195">
        <f t="shared" si="30"/>
        <v>9.1839899087866748</v>
      </c>
      <c r="AV4" s="195">
        <f t="shared" si="31"/>
        <v>-1.5722563491184633E-2</v>
      </c>
    </row>
    <row r="5" spans="1:48" x14ac:dyDescent="0.2">
      <c r="A5" s="117" t="s">
        <v>201</v>
      </c>
      <c r="B5" s="171">
        <f>C5</f>
        <v>7500</v>
      </c>
      <c r="C5" s="217">
        <f>Rhs</f>
        <v>7500</v>
      </c>
      <c r="D5" s="105" t="s">
        <v>109</v>
      </c>
      <c r="F5" s="195">
        <v>3</v>
      </c>
      <c r="G5" s="210">
        <f t="shared" si="0"/>
        <v>168.57915720649032</v>
      </c>
      <c r="H5" s="210">
        <f t="shared" si="1"/>
        <v>168.57881372500071</v>
      </c>
      <c r="I5" s="196">
        <f t="shared" si="2"/>
        <v>1</v>
      </c>
      <c r="J5" s="195">
        <f t="shared" si="19"/>
        <v>1</v>
      </c>
      <c r="K5" s="195">
        <f t="shared" si="20"/>
        <v>1</v>
      </c>
      <c r="L5" s="195">
        <f>10^('Small Signal'!F5/30)</f>
        <v>1.2589254117941673</v>
      </c>
      <c r="M5" s="195" t="str">
        <f t="shared" si="21"/>
        <v>7.91006165022012i</v>
      </c>
      <c r="N5" s="195">
        <f>IF(D$32=1, IF(AND('Small Signal'!$B$62&gt;=1,FCCM=0),V5+0,S5+0), 0)</f>
        <v>9.1386915175877768</v>
      </c>
      <c r="O5" s="195">
        <f>IF(D$32=1, IF(AND('Small Signal'!$B$62&gt;=1,FCCM=0),W5,T5), 0)</f>
        <v>-1.6905342133402716E-2</v>
      </c>
      <c r="P5" s="195">
        <f>IF(AND('Small Signal'!$B$62&gt;=1,FCCM=0),AF5+0,AC5+0)</f>
        <v>62.126492128771247</v>
      </c>
      <c r="Q5" s="195">
        <f>IF(AND('Small Signal'!$B$62&gt;=1,FCCM=0),AG5,AD5)</f>
        <v>179.33925352205569</v>
      </c>
      <c r="R5" s="195" t="str">
        <f>IMDIV(IMSUM('Small Signal'!$B$2*'Small Signal'!$B$39*'Small Signal'!$B$63,IMPRODUCT(M5,'Small Signal'!$B$2*'Small Signal'!$B$39*'Small Signal'!$B$63*'Small Signal'!$B$14*'Small Signal'!$B$15)),IMSUM(IMPRODUCT('Small Signal'!$B$12*'Small Signal'!$B$14*('Small Signal'!$B$15+'Small Signal'!$B$39),IMPOWER(M5,2)),IMSUM(IMPRODUCT(M5,('Small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2.61462152062091-0.000716314442094285i</v>
      </c>
      <c r="S5" s="195">
        <f t="shared" si="22"/>
        <v>9.1386915175877768</v>
      </c>
      <c r="T5" s="195">
        <f t="shared" si="23"/>
        <v>-1.6905342133402716E-2</v>
      </c>
      <c r="U5" s="195" t="str">
        <f>IMDIV(IMSUM('Small Signal'!$B$75,IMPRODUCT(M5,'Small Signal'!$B$76)),IMSUM(IMPRODUCT('Small Signal'!$B$79,IMPOWER(M5,2)),IMSUM(IMPRODUCT(M5,'Small Signal'!$B$78),'Small Signal'!$B$77)))</f>
        <v>3.06205028176056-0.000643779699445301i</v>
      </c>
      <c r="V5" s="195">
        <f t="shared" si="3"/>
        <v>9.7202465509059959</v>
      </c>
      <c r="W5" s="195">
        <f t="shared" si="4"/>
        <v>-1.2046131113732783E-2</v>
      </c>
      <c r="X5" s="195" t="str">
        <f>IMPRODUCT(IMDIV(IMSUM(IMPRODUCT(M5,'Small Signal'!$B$58*'Small Signal'!$B$6*'Small Signal'!$B$51*'Small Signal'!$B$7*'Small Signal'!$B$8),'Small Signal'!$B$58*'Small Signal'!$B$6*'Small Signal'!$B$51),IMSUM(IMSUM(IMPRODUCT(M5,('Small Signal'!$B$5+'Small Signal'!$B$6)*('Small Signal'!$B$57*'Small Signal'!$B$58)+'Small Signal'!$B$5*'Small Signal'!$B$58*('Small Signal'!$B$8+'Small Signal'!$B$9)+'Small Signal'!$B$6*'Small Signal'!$B$58*('Small Signal'!$B$8+'Small Signal'!$B$9)+'Small Signal'!$B$7*'Small Signal'!$B$8*('Small Signal'!$B$5+'Small Signal'!$B$6)),'Small Signal'!$B$6+'Small Signal'!$B$5),IMPRODUCT(IMPOWER(M5,2),'Small Signal'!$B$57*'Small Signal'!$B$58*'Small Signal'!$B$8*'Small Signal'!$B$7*('Small Signal'!$B$5+'Small Signal'!$B$6)+('Small Signal'!$B$5+'Small Signal'!$B$6)*('Small Signal'!$B$9*'Small Signal'!$B$8*'Small Signal'!$B$58*'Small Signal'!$B$7)))),-1)</f>
        <v>-446.028475495148+5.01449765772824i</v>
      </c>
      <c r="Y5" s="195">
        <f t="shared" si="5"/>
        <v>52.987800611183467</v>
      </c>
      <c r="Z5" s="195">
        <f t="shared" si="6"/>
        <v>179.35615886418913</v>
      </c>
      <c r="AA5" s="195" t="str">
        <f t="shared" si="7"/>
        <v>1.00000000001957+4.92918354303401E-06i</v>
      </c>
      <c r="AB5" s="195" t="str">
        <f t="shared" si="8"/>
        <v>-1277.30827875344+14.7308295579042i</v>
      </c>
      <c r="AC5" s="192">
        <f t="shared" si="24"/>
        <v>62.126492128771247</v>
      </c>
      <c r="AD5" s="195">
        <f t="shared" si="25"/>
        <v>179.33925352205569</v>
      </c>
      <c r="AE5" s="195" t="str">
        <f t="shared" si="9"/>
        <v>-1365.75839083136+15.6417880436327i</v>
      </c>
      <c r="AF5" s="192">
        <f t="shared" si="10"/>
        <v>62.708047161813987</v>
      </c>
      <c r="AG5" s="195">
        <f t="shared" si="11"/>
        <v>179.34383031166195</v>
      </c>
      <c r="AI5" s="195" t="str">
        <f t="shared" si="12"/>
        <v>0.002-632.106324969145i</v>
      </c>
      <c r="AJ5" s="195">
        <f t="shared" si="13"/>
        <v>0.22500000000000001</v>
      </c>
      <c r="AK5" s="195" t="str">
        <f t="shared" si="14"/>
        <v>0.0375-1264212.64993829i</v>
      </c>
      <c r="AL5" s="195" t="str">
        <f t="shared" si="15"/>
        <v>0.224999971210048-0.0000801294085515479i</v>
      </c>
      <c r="AM5" s="195" t="str">
        <f t="shared" si="16"/>
        <v>0.898502495839244-9.58550340458541E-07i</v>
      </c>
      <c r="AN5" s="195" t="str">
        <f t="shared" si="17"/>
        <v>0.006+0.0000108965134977522i</v>
      </c>
      <c r="AO5" s="195" t="str">
        <f t="shared" si="26"/>
        <v>2.86374640479172-0.000844959516610369i</v>
      </c>
      <c r="AP5" s="195">
        <f t="shared" si="27"/>
        <v>9.1386915175877768</v>
      </c>
      <c r="AQ5" s="195">
        <f t="shared" si="28"/>
        <v>-1.6905342133402716E-2</v>
      </c>
      <c r="AS5" s="195" t="str">
        <f t="shared" si="18"/>
        <v>0.92195121951109-0.0000010092348444184i</v>
      </c>
      <c r="AT5" s="195" t="str">
        <f t="shared" si="29"/>
        <v>2.8787203230152-0.000852969580104142i</v>
      </c>
      <c r="AU5" s="195">
        <f t="shared" si="30"/>
        <v>9.1839898575829952</v>
      </c>
      <c r="AV5" s="195">
        <f t="shared" si="31"/>
        <v>-1.697683348120604E-2</v>
      </c>
    </row>
    <row r="6" spans="1:48" x14ac:dyDescent="0.2">
      <c r="A6" s="117" t="s">
        <v>202</v>
      </c>
      <c r="B6" s="171">
        <f t="shared" si="32"/>
        <v>6040</v>
      </c>
      <c r="C6" s="217">
        <f>Rls</f>
        <v>6040</v>
      </c>
      <c r="D6" s="105" t="s">
        <v>109</v>
      </c>
      <c r="F6" s="195">
        <v>4</v>
      </c>
      <c r="G6" s="210">
        <f t="shared" si="0"/>
        <v>168.57918460778188</v>
      </c>
      <c r="H6" s="210">
        <f t="shared" si="1"/>
        <v>168.57881372500071</v>
      </c>
      <c r="I6" s="196">
        <f t="shared" si="2"/>
        <v>1</v>
      </c>
      <c r="J6" s="195">
        <f t="shared" si="19"/>
        <v>1</v>
      </c>
      <c r="K6" s="195">
        <f t="shared" si="20"/>
        <v>1</v>
      </c>
      <c r="L6" s="195">
        <f>10^('Small Signal'!F6/30)</f>
        <v>1.3593563908785258</v>
      </c>
      <c r="M6" s="195" t="str">
        <f t="shared" si="21"/>
        <v>8.54108810238862i</v>
      </c>
      <c r="N6" s="195">
        <f>IF(D$32=1, IF(AND('Small Signal'!$B$62&gt;=1,FCCM=0),V6+0,S6+0), 0)</f>
        <v>9.1386914585275694</v>
      </c>
      <c r="O6" s="195">
        <f>IF(D$32=1, IF(AND('Small Signal'!$B$62&gt;=1,FCCM=0),W6,T6), 0)</f>
        <v>-1.8253968466169543E-2</v>
      </c>
      <c r="P6" s="195">
        <f>IF(AND('Small Signal'!$B$62&gt;=1,FCCM=0),AF6+0,AC6+0)</f>
        <v>62.126398356045868</v>
      </c>
      <c r="Q6" s="195">
        <f>IF(AND('Small Signal'!$B$62&gt;=1,FCCM=0),AG6,AD6)</f>
        <v>179.28654744127292</v>
      </c>
      <c r="R6" s="195" t="str">
        <f>IMDIV(IMSUM('Small Signal'!$B$2*'Small Signal'!$B$39*'Small Signal'!$B$63,IMPRODUCT(M6,'Small Signal'!$B$2*'Small Signal'!$B$39*'Small Signal'!$B$63*'Small Signal'!$B$14*'Small Signal'!$B$15)),IMSUM(IMPRODUCT('Small Signal'!$B$12*'Small Signal'!$B$14*('Small Signal'!$B$15+'Small Signal'!$B$39),IMPOWER(M6,2)),IMSUM(IMPRODUCT(M6,('Small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2.61462148969644-0.000773458534331319i</v>
      </c>
      <c r="S6" s="195">
        <f t="shared" si="22"/>
        <v>9.1386914585275694</v>
      </c>
      <c r="T6" s="195">
        <f t="shared" si="23"/>
        <v>-1.8253968466169543E-2</v>
      </c>
      <c r="U6" s="195" t="str">
        <f>IMDIV(IMSUM('Small Signal'!$B$75,IMPRODUCT(M6,'Small Signal'!$B$76)),IMSUM(IMPRODUCT('Small Signal'!$B$79,IMPOWER(M6,2)),IMSUM(IMPRODUCT(M6,'Small Signal'!$B$78),'Small Signal'!$B$77)))</f>
        <v>3.06205026411912-0.000695137326576532i</v>
      </c>
      <c r="V6" s="195">
        <f t="shared" si="3"/>
        <v>9.7202465327144907</v>
      </c>
      <c r="W6" s="195">
        <f t="shared" si="4"/>
        <v>-1.3007113167716576E-2</v>
      </c>
      <c r="X6" s="195" t="str">
        <f>IMPRODUCT(IMDIV(IMSUM(IMPRODUCT(M6,'Small Signal'!$B$58*'Small Signal'!$B$6*'Small Signal'!$B$51*'Small Signal'!$B$7*'Small Signal'!$B$8),'Small Signal'!$B$58*'Small Signal'!$B$6*'Small Signal'!$B$51),IMSUM(IMSUM(IMPRODUCT(M6,('Small Signal'!$B$5+'Small Signal'!$B$6)*('Small Signal'!$B$57*'Small Signal'!$B$58)+'Small Signal'!$B$5*'Small Signal'!$B$58*('Small Signal'!$B$8+'Small Signal'!$B$9)+'Small Signal'!$B$6*'Small Signal'!$B$58*('Small Signal'!$B$8+'Small Signal'!$B$9)+'Small Signal'!$B$7*'Small Signal'!$B$8*('Small Signal'!$B$5+'Small Signal'!$B$6)),'Small Signal'!$B$6+'Small Signal'!$B$5),IMPRODUCT(IMPOWER(M6,2),'Small Signal'!$B$57*'Small Signal'!$B$58*'Small Signal'!$B$8*'Small Signal'!$B$7*('Small Signal'!$B$5+'Small Signal'!$B$6)+('Small Signal'!$B$5+'Small Signal'!$B$6)*('Small Signal'!$B$9*'Small Signal'!$B$8*'Small Signal'!$B$58*'Small Signal'!$B$7)))),-1)</f>
        <v>-446.018987196853+5.41441316214034i</v>
      </c>
      <c r="Y6" s="195">
        <f t="shared" si="5"/>
        <v>52.987706897518322</v>
      </c>
      <c r="Z6" s="195">
        <f t="shared" si="6"/>
        <v>179.3048014097391</v>
      </c>
      <c r="AA6" s="195" t="str">
        <f t="shared" si="7"/>
        <v>1.00000000002281+5.32240996030871E-06i</v>
      </c>
      <c r="AB6" s="195" t="str">
        <f t="shared" si="8"/>
        <v>-1277.28039793794+15.9056404878195i</v>
      </c>
      <c r="AC6" s="192">
        <f t="shared" si="24"/>
        <v>62.126398356045868</v>
      </c>
      <c r="AD6" s="195">
        <f t="shared" si="25"/>
        <v>179.28654744127292</v>
      </c>
      <c r="AE6" s="195" t="str">
        <f t="shared" si="9"/>
        <v>-1365.72879378758+16.8892496995443i</v>
      </c>
      <c r="AF6" s="192">
        <f t="shared" si="10"/>
        <v>62.707953429911697</v>
      </c>
      <c r="AG6" s="195">
        <f t="shared" si="11"/>
        <v>179.29148934494384</v>
      </c>
      <c r="AI6" s="195" t="str">
        <f t="shared" si="12"/>
        <v>0.002-585.405505722591i</v>
      </c>
      <c r="AJ6" s="195">
        <f t="shared" si="13"/>
        <v>0.22500000000000001</v>
      </c>
      <c r="AK6" s="195" t="str">
        <f t="shared" si="14"/>
        <v>0.0375-1170811.01144518i</v>
      </c>
      <c r="AL6" s="195" t="str">
        <f t="shared" si="15"/>
        <v>0.224999966433381-0.0000865217432728352i</v>
      </c>
      <c r="AM6" s="195" t="str">
        <f t="shared" si="16"/>
        <v>0.898502495839073-1.03501884946771E-06i</v>
      </c>
      <c r="AN6" s="195" t="str">
        <f t="shared" si="17"/>
        <v>0.006+0.0000117657846308415i</v>
      </c>
      <c r="AO6" s="195" t="str">
        <f t="shared" si="26"/>
        <v>2.86374636463757-0.000912366286803167i</v>
      </c>
      <c r="AP6" s="195">
        <f t="shared" si="27"/>
        <v>9.1386914585275694</v>
      </c>
      <c r="AQ6" s="195">
        <f t="shared" si="28"/>
        <v>-1.8253968466169543E-2</v>
      </c>
      <c r="AS6" s="195" t="str">
        <f t="shared" si="18"/>
        <v>0.921951219510906-1.08974671795844E-06i</v>
      </c>
      <c r="AT6" s="195" t="str">
        <f t="shared" si="29"/>
        <v>2.87872028226314-0.000921015354159188i</v>
      </c>
      <c r="AU6" s="195">
        <f t="shared" si="30"/>
        <v>9.1839897978839033</v>
      </c>
      <c r="AV6" s="195">
        <f t="shared" si="31"/>
        <v>-1.8331163046533035E-2</v>
      </c>
    </row>
    <row r="7" spans="1:48" x14ac:dyDescent="0.2">
      <c r="A7" s="117" t="s">
        <v>22</v>
      </c>
      <c r="B7" s="208">
        <f>C7</f>
        <v>11800</v>
      </c>
      <c r="C7" s="218">
        <f>Rcomp</f>
        <v>11800</v>
      </c>
      <c r="D7" s="105" t="s">
        <v>109</v>
      </c>
      <c r="F7" s="195">
        <v>5</v>
      </c>
      <c r="G7" s="210">
        <f t="shared" si="0"/>
        <v>168.57921419501596</v>
      </c>
      <c r="H7" s="210">
        <f t="shared" si="1"/>
        <v>168.57881372500071</v>
      </c>
      <c r="I7" s="196">
        <f t="shared" si="2"/>
        <v>1</v>
      </c>
      <c r="J7" s="195">
        <f t="shared" si="19"/>
        <v>1</v>
      </c>
      <c r="K7" s="195">
        <f t="shared" si="20"/>
        <v>1</v>
      </c>
      <c r="L7" s="195">
        <f>10^('Small Signal'!F7/30)</f>
        <v>1.4677992676220697</v>
      </c>
      <c r="M7" s="195" t="str">
        <f t="shared" si="21"/>
        <v>9.22245479221194i</v>
      </c>
      <c r="N7" s="195">
        <f>IF(D$32=1, IF(AND('Small Signal'!$B$62&gt;=1,FCCM=0),V7+0,S7+0), 0)</f>
        <v>9.1386913896683915</v>
      </c>
      <c r="O7" s="195">
        <f>IF(D$32=1, IF(AND('Small Signal'!$B$62&gt;=1,FCCM=0),W7,T7), 0)</f>
        <v>-1.9710181662804326E-2</v>
      </c>
      <c r="P7" s="195">
        <f>IF(AND('Small Signal'!$B$62&gt;=1,FCCM=0),AF7+0,AC7+0)</f>
        <v>62.126289027629333</v>
      </c>
      <c r="Q7" s="195">
        <f>IF(AND('Small Signal'!$B$62&gt;=1,FCCM=0),AG7,AD7)</f>
        <v>179.22963803866105</v>
      </c>
      <c r="R7" s="195" t="str">
        <f>IMDIV(IMSUM('Small Signal'!$B$2*'Small Signal'!$B$39*'Small Signal'!$B$63,IMPRODUCT(M7,'Small Signal'!$B$2*'Small Signal'!$B$39*'Small Signal'!$B$63*'Small Signal'!$B$14*'Small Signal'!$B$15)),IMSUM(IMPRODUCT('Small Signal'!$B$12*'Small Signal'!$B$14*('Small Signal'!$B$15+'Small Signal'!$B$39),IMPOWER(M7,2)),IMSUM(IMPRODUCT(M7,('Small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2.61462145364115-0.000835161303560667i</v>
      </c>
      <c r="S7" s="195">
        <f t="shared" si="22"/>
        <v>9.1386913896683915</v>
      </c>
      <c r="T7" s="195">
        <f t="shared" si="23"/>
        <v>-1.9710181662804326E-2</v>
      </c>
      <c r="U7" s="195" t="str">
        <f>IMDIV(IMSUM('Small Signal'!$B$75,IMPRODUCT(M7,'Small Signal'!$B$76)),IMSUM(IMPRODUCT('Small Signal'!$B$79,IMPOWER(M7,2)),IMSUM(IMPRODUCT(M7,'Small Signal'!$B$78),'Small Signal'!$B$77)))</f>
        <v>3.0620502435507-0.000750592015999247i</v>
      </c>
      <c r="V7" s="195">
        <f t="shared" si="3"/>
        <v>9.7202465115047207</v>
      </c>
      <c r="W7" s="195">
        <f t="shared" si="4"/>
        <v>-1.404475771819356E-2</v>
      </c>
      <c r="X7" s="195" t="str">
        <f>IMPRODUCT(IMDIV(IMSUM(IMPRODUCT(M7,'Small Signal'!$B$58*'Small Signal'!$B$6*'Small Signal'!$B$51*'Small Signal'!$B$7*'Small Signal'!$B$8),'Small Signal'!$B$58*'Small Signal'!$B$6*'Small Signal'!$B$51),IMSUM(IMSUM(IMPRODUCT(M7,('Small Signal'!$B$5+'Small Signal'!$B$6)*('Small Signal'!$B$57*'Small Signal'!$B$58)+'Small Signal'!$B$5*'Small Signal'!$B$58*('Small Signal'!$B$8+'Small Signal'!$B$9)+'Small Signal'!$B$6*'Small Signal'!$B$58*('Small Signal'!$B$8+'Small Signal'!$B$9)+'Small Signal'!$B$7*'Small Signal'!$B$8*('Small Signal'!$B$5+'Small Signal'!$B$6)),'Small Signal'!$B$6+'Small Signal'!$B$5),IMPRODUCT(IMPOWER(M7,2),'Small Signal'!$B$57*'Small Signal'!$B$58*'Small Signal'!$B$8*'Small Signal'!$B$7*('Small Signal'!$B$5+'Small Signal'!$B$6)+('Small Signal'!$B$5+'Small Signal'!$B$6)*('Small Signal'!$B$9*'Small Signal'!$B$8*'Small Signal'!$B$58*'Small Signal'!$B$7)))),-1)</f>
        <v>-446.007925170348+5.84620173962933i</v>
      </c>
      <c r="Y7" s="195">
        <f t="shared" si="5"/>
        <v>52.987597637960938</v>
      </c>
      <c r="Z7" s="195">
        <f t="shared" si="6"/>
        <v>179.24934822032387</v>
      </c>
      <c r="AA7" s="195" t="str">
        <f t="shared" si="7"/>
        <v>1.0000000000266+5.74700607884941E-06i</v>
      </c>
      <c r="AB7" s="195" t="str">
        <f t="shared" si="8"/>
        <v>-1277.24789281319+17.1740832583682i</v>
      </c>
      <c r="AC7" s="192">
        <f t="shared" si="24"/>
        <v>62.126289027629333</v>
      </c>
      <c r="AD7" s="195">
        <f t="shared" si="25"/>
        <v>179.22963803866105</v>
      </c>
      <c r="AE7" s="195" t="str">
        <f t="shared" si="9"/>
        <v>-1365.69428778106+18.2361334483838i</v>
      </c>
      <c r="AF7" s="192">
        <f t="shared" si="10"/>
        <v>62.707844149091194</v>
      </c>
      <c r="AG7" s="195">
        <f t="shared" si="11"/>
        <v>179.23497418341253</v>
      </c>
      <c r="AI7" s="195" t="str">
        <f t="shared" si="12"/>
        <v>0.002-542.155002399397i</v>
      </c>
      <c r="AJ7" s="195">
        <f t="shared" si="13"/>
        <v>0.22500000000000001</v>
      </c>
      <c r="AK7" s="195" t="str">
        <f t="shared" si="14"/>
        <v>0.0375-1084310.0047988i</v>
      </c>
      <c r="AL7" s="195" t="str">
        <f t="shared" si="15"/>
        <v>0.224999960864196-0.0000934240270543421i</v>
      </c>
      <c r="AM7" s="195" t="str">
        <f t="shared" si="16"/>
        <v>0.898502495838876-1.11758764619598E-06i</v>
      </c>
      <c r="AN7" s="195" t="str">
        <f t="shared" si="17"/>
        <v>0.006+0.0000127044020096797i</v>
      </c>
      <c r="AO7" s="195" t="str">
        <f t="shared" si="26"/>
        <v>2.86374631782126-0.000985150439818072i</v>
      </c>
      <c r="AP7" s="195">
        <f t="shared" si="27"/>
        <v>9.1386913896683915</v>
      </c>
      <c r="AQ7" s="195">
        <f t="shared" si="28"/>
        <v>-1.9710181662804326E-2</v>
      </c>
      <c r="AS7" s="195" t="str">
        <f t="shared" si="18"/>
        <v>0.921951219510693-1.17668143927939E-06i</v>
      </c>
      <c r="AT7" s="195" t="str">
        <f t="shared" si="29"/>
        <v>2.87872023474973-0.000994489487607618i</v>
      </c>
      <c r="AU7" s="195">
        <f t="shared" si="30"/>
        <v>9.183989728279883</v>
      </c>
      <c r="AV7" s="195">
        <f t="shared" si="31"/>
        <v>-1.9793534451690548E-2</v>
      </c>
    </row>
    <row r="8" spans="1:48" x14ac:dyDescent="0.2">
      <c r="A8" s="117" t="s">
        <v>24</v>
      </c>
      <c r="B8" s="204">
        <f>C8</f>
        <v>1.8000000000000002E-9</v>
      </c>
      <c r="C8" s="219">
        <f>Ccomp</f>
        <v>1.8000000000000002E-9</v>
      </c>
      <c r="D8" s="149" t="s">
        <v>239</v>
      </c>
      <c r="F8" s="195">
        <v>6</v>
      </c>
      <c r="G8" s="210">
        <f t="shared" si="0"/>
        <v>168.57924614257644</v>
      </c>
      <c r="H8" s="210">
        <f t="shared" si="1"/>
        <v>168.57881372500071</v>
      </c>
      <c r="I8" s="196">
        <f t="shared" si="2"/>
        <v>1</v>
      </c>
      <c r="J8" s="195">
        <f t="shared" si="19"/>
        <v>1</v>
      </c>
      <c r="K8" s="195">
        <f t="shared" si="20"/>
        <v>1</v>
      </c>
      <c r="L8" s="195">
        <f>10^('Small Signal'!F8/30)</f>
        <v>1.5848931924611136</v>
      </c>
      <c r="M8" s="195" t="str">
        <f t="shared" si="21"/>
        <v>9.95817762032062i</v>
      </c>
      <c r="N8" s="195">
        <f>IF(D$32=1, IF(AND('Small Signal'!$B$62&gt;=1,FCCM=0),V8+0,S8+0), 0)</f>
        <v>9.1386913093845141</v>
      </c>
      <c r="O8" s="195">
        <f>IF(D$32=1, IF(AND('Small Signal'!$B$62&gt;=1,FCCM=0),W8,T8), 0)</f>
        <v>-2.1282564477464259E-2</v>
      </c>
      <c r="P8" s="195">
        <f>IF(AND('Small Signal'!$B$62&gt;=1,FCCM=0),AF8+0,AC8+0)</f>
        <v>62.126161563526111</v>
      </c>
      <c r="Q8" s="195">
        <f>IF(AND('Small Signal'!$B$62&gt;=1,FCCM=0),AG8,AD8)</f>
        <v>179.16819033376615</v>
      </c>
      <c r="R8" s="195" t="str">
        <f>IMDIV(IMSUM('Small Signal'!$B$2*'Small Signal'!$B$39*'Small Signal'!$B$63,IMPRODUCT(M8,'Small Signal'!$B$2*'Small Signal'!$B$39*'Small Signal'!$B$63*'Small Signal'!$B$14*'Small Signal'!$B$15)),IMSUM(IMPRODUCT('Small Signal'!$B$12*'Small Signal'!$B$14*('Small Signal'!$B$15+'Small Signal'!$B$39),IMPOWER(M8,2)),IMSUM(IMPRODUCT(M8,('Small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2.61462141160377-0.000901786418398894i</v>
      </c>
      <c r="S8" s="195">
        <f t="shared" si="22"/>
        <v>9.1386913093845141</v>
      </c>
      <c r="T8" s="195">
        <f t="shared" si="23"/>
        <v>-2.1282564477464259E-2</v>
      </c>
      <c r="U8" s="195" t="str">
        <f>IMDIV(IMSUM('Small Signal'!$B$75,IMPRODUCT(M8,'Small Signal'!$B$76)),IMSUM(IMPRODUCT('Small Signal'!$B$79,IMPOWER(M8,2)),IMSUM(IMPRODUCT(M8,'Small Signal'!$B$78),'Small Signal'!$B$77)))</f>
        <v>3.0620502195697-0.00081047061132872i</v>
      </c>
      <c r="V8" s="195">
        <f t="shared" si="3"/>
        <v>9.7202464867759897</v>
      </c>
      <c r="W8" s="195">
        <f t="shared" si="4"/>
        <v>-1.5165180527526209E-2</v>
      </c>
      <c r="X8" s="195" t="str">
        <f>IMPRODUCT(IMDIV(IMSUM(IMPRODUCT(M8,'Small Signal'!$B$58*'Small Signal'!$B$6*'Small Signal'!$B$51*'Small Signal'!$B$7*'Small Signal'!$B$8),'Small Signal'!$B$58*'Small Signal'!$B$6*'Small Signal'!$B$51),IMSUM(IMSUM(IMPRODUCT(M8,('Small Signal'!$B$5+'Small Signal'!$B$6)*('Small Signal'!$B$57*'Small Signal'!$B$58)+'Small Signal'!$B$5*'Small Signal'!$B$58*('Small Signal'!$B$8+'Small Signal'!$B$9)+'Small Signal'!$B$6*'Small Signal'!$B$58*('Small Signal'!$B$8+'Small Signal'!$B$9)+'Small Signal'!$B$7*'Small Signal'!$B$8*('Small Signal'!$B$5+'Small Signal'!$B$6)),'Small Signal'!$B$6+'Small Signal'!$B$5),IMPRODUCT(IMPOWER(M8,2),'Small Signal'!$B$57*'Small Signal'!$B$58*'Small Signal'!$B$8*'Small Signal'!$B$7*('Small Signal'!$B$5+'Small Signal'!$B$6)+('Small Signal'!$B$5+'Small Signal'!$B$6)*('Small Signal'!$B$9*'Small Signal'!$B$8*'Small Signal'!$B$58*'Small Signal'!$B$7)))),-1)</f>
        <v>-445.995028497244+6.31239824018475i</v>
      </c>
      <c r="Y8" s="195">
        <f t="shared" si="5"/>
        <v>52.987470254141577</v>
      </c>
      <c r="Z8" s="195">
        <f t="shared" si="6"/>
        <v>179.18947289824362</v>
      </c>
      <c r="AA8" s="195" t="str">
        <f t="shared" si="7"/>
        <v>1.00000000003101+6.20547442166594E-06i</v>
      </c>
      <c r="AB8" s="195" t="str">
        <f t="shared" si="8"/>
        <v>-1277.20999668558+18.5436043578884i</v>
      </c>
      <c r="AC8" s="192">
        <f t="shared" si="24"/>
        <v>62.126161563526111</v>
      </c>
      <c r="AD8" s="195">
        <f t="shared" si="25"/>
        <v>179.16819033376615</v>
      </c>
      <c r="AE8" s="195" t="str">
        <f t="shared" si="9"/>
        <v>-1365.65405892372+19.6903462807648i</v>
      </c>
      <c r="AF8" s="192">
        <f t="shared" si="10"/>
        <v>62.707716740480983</v>
      </c>
      <c r="AG8" s="195">
        <f t="shared" si="11"/>
        <v>179.17395217022187</v>
      </c>
      <c r="AI8" s="195" t="str">
        <f t="shared" si="12"/>
        <v>0.002-502.099901270794i</v>
      </c>
      <c r="AJ8" s="195">
        <f t="shared" si="13"/>
        <v>0.22500000000000001</v>
      </c>
      <c r="AK8" s="195" t="str">
        <f t="shared" si="14"/>
        <v>0.0375-1004199.80254159i</v>
      </c>
      <c r="AL8" s="195" t="str">
        <f t="shared" si="15"/>
        <v>0.224999954371004-0.000100876941040888i</v>
      </c>
      <c r="AM8" s="195" t="str">
        <f t="shared" si="16"/>
        <v>0.898502495838646-1.20674338208641E-06i</v>
      </c>
      <c r="AN8" s="195" t="str">
        <f t="shared" si="17"/>
        <v>0.006+0.0000137178977422784i</v>
      </c>
      <c r="AO8" s="195" t="str">
        <f t="shared" si="26"/>
        <v>2.86374626323746-0.00106374095641095i</v>
      </c>
      <c r="AP8" s="195">
        <f t="shared" si="27"/>
        <v>9.1386913093845141</v>
      </c>
      <c r="AQ8" s="195">
        <f t="shared" si="28"/>
        <v>-2.1282564477464259E-2</v>
      </c>
      <c r="AS8" s="195" t="str">
        <f t="shared" si="18"/>
        <v>0.921951219510444-1.27055139210557E-06i</v>
      </c>
      <c r="AT8" s="195" t="str">
        <f t="shared" si="29"/>
        <v>2.87872017935318-0.00107382502785256i</v>
      </c>
      <c r="AU8" s="195">
        <f t="shared" si="30"/>
        <v>9.1839896471276035</v>
      </c>
      <c r="AV8" s="195">
        <f t="shared" si="31"/>
        <v>-2.1372566746528616E-2</v>
      </c>
    </row>
    <row r="9" spans="1:48" x14ac:dyDescent="0.2">
      <c r="A9" s="117" t="s">
        <v>48</v>
      </c>
      <c r="B9" s="204">
        <f>C9</f>
        <v>2.7E-11</v>
      </c>
      <c r="C9" s="219">
        <f>Cpole</f>
        <v>2.7E-11</v>
      </c>
      <c r="D9" s="149" t="s">
        <v>239</v>
      </c>
      <c r="F9" s="195">
        <v>7</v>
      </c>
      <c r="G9" s="210">
        <f t="shared" si="0"/>
        <v>168.57928063875872</v>
      </c>
      <c r="H9" s="210">
        <f t="shared" si="1"/>
        <v>168.57881372500071</v>
      </c>
      <c r="I9" s="196">
        <f t="shared" si="2"/>
        <v>1</v>
      </c>
      <c r="J9" s="195">
        <f t="shared" si="19"/>
        <v>1</v>
      </c>
      <c r="K9" s="195">
        <f t="shared" si="20"/>
        <v>1</v>
      </c>
      <c r="L9" s="195">
        <f>10^('Small Signal'!F9/30)</f>
        <v>1.7113283041617808</v>
      </c>
      <c r="M9" s="195" t="str">
        <f t="shared" si="21"/>
        <v>10.7525928564699i</v>
      </c>
      <c r="N9" s="195">
        <f>IF(D$32=1, IF(AND('Small Signal'!$B$62&gt;=1,FCCM=0),V9+0,S9+0), 0)</f>
        <v>9.1386912157803728</v>
      </c>
      <c r="O9" s="195">
        <f>IF(D$32=1, IF(AND('Small Signal'!$B$62&gt;=1,FCCM=0),W9,T9), 0)</f>
        <v>-2.2980384353521819E-2</v>
      </c>
      <c r="P9" s="195">
        <f>IF(AND('Small Signal'!$B$62&gt;=1,FCCM=0),AF9+0,AC9+0)</f>
        <v>62.126012956011976</v>
      </c>
      <c r="Q9" s="195">
        <f>IF(AND('Small Signal'!$B$62&gt;=1,FCCM=0),AG9,AD9)</f>
        <v>179.10184271106843</v>
      </c>
      <c r="R9" s="195" t="str">
        <f>IMDIV(IMSUM('Small Signal'!$B$2*'Small Signal'!$B$39*'Small Signal'!$B$63,IMPRODUCT(M9,'Small Signal'!$B$2*'Small Signal'!$B$39*'Small Signal'!$B$63*'Small Signal'!$B$14*'Small Signal'!$B$15)),IMSUM(IMPRODUCT('Small Signal'!$B$12*'Small Signal'!$B$14*('Small Signal'!$B$15+'Small Signal'!$B$39),IMPOWER(M9,2)),IMSUM(IMPRODUCT(M9,('Small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2.61462136259179-0.000973726559035175i</v>
      </c>
      <c r="S9" s="195">
        <f t="shared" si="22"/>
        <v>9.1386912157803728</v>
      </c>
      <c r="T9" s="195">
        <f t="shared" si="23"/>
        <v>-2.2980384353521819E-2</v>
      </c>
      <c r="U9" s="195" t="str">
        <f>IMDIV(IMSUM('Small Signal'!$B$75,IMPRODUCT(M9,'Small Signal'!$B$76)),IMSUM(IMPRODUCT('Small Signal'!$B$79,IMPOWER(M9,2)),IMSUM(IMPRODUCT(M9,'Small Signal'!$B$78),'Small Signal'!$B$77)))</f>
        <v>3.0620501916099-0.000875126030132416i</v>
      </c>
      <c r="V9" s="195">
        <f t="shared" si="3"/>
        <v>9.7202464579443877</v>
      </c>
      <c r="W9" s="195">
        <f t="shared" si="4"/>
        <v>-1.6374985243820629E-2</v>
      </c>
      <c r="X9" s="195" t="str">
        <f>IMPRODUCT(IMDIV(IMSUM(IMPRODUCT(M9,'Small Signal'!$B$58*'Small Signal'!$B$6*'Small Signal'!$B$51*'Small Signal'!$B$7*'Small Signal'!$B$8),'Small Signal'!$B$58*'Small Signal'!$B$6*'Small Signal'!$B$51),IMSUM(IMSUM(IMPRODUCT(M9,('Small Signal'!$B$5+'Small Signal'!$B$6)*('Small Signal'!$B$57*'Small Signal'!$B$58)+'Small Signal'!$B$5*'Small Signal'!$B$58*('Small Signal'!$B$8+'Small Signal'!$B$9)+'Small Signal'!$B$6*'Small Signal'!$B$58*('Small Signal'!$B$8+'Small Signal'!$B$9)+'Small Signal'!$B$7*'Small Signal'!$B$8*('Small Signal'!$B$5+'Small Signal'!$B$6)),'Small Signal'!$B$6+'Small Signal'!$B$5),IMPRODUCT(IMPOWER(M9,2),'Small Signal'!$B$57*'Small Signal'!$B$58*'Small Signal'!$B$8*'Small Signal'!$B$7*('Small Signal'!$B$5+'Small Signal'!$B$6)+('Small Signal'!$B$5+'Small Signal'!$B$6)*('Small Signal'!$B$9*'Small Signal'!$B$8*'Small Signal'!$B$58*'Small Signal'!$B$7)))),-1)</f>
        <v>-445.979993035748+6.8157377060894i</v>
      </c>
      <c r="Y9" s="195">
        <f t="shared" si="5"/>
        <v>52.987321740231614</v>
      </c>
      <c r="Z9" s="195">
        <f t="shared" si="6"/>
        <v>179.12482309542193</v>
      </c>
      <c r="AA9" s="195" t="str">
        <f t="shared" si="7"/>
        <v>1.00000000003616+6.70051715094701E-06i</v>
      </c>
      <c r="AB9" s="195" t="str">
        <f t="shared" si="8"/>
        <v>-1277.16581585207+20.0222383668694i</v>
      </c>
      <c r="AC9" s="192">
        <f t="shared" si="24"/>
        <v>62.126012956011976</v>
      </c>
      <c r="AD9" s="195">
        <f t="shared" si="25"/>
        <v>179.10184271106843</v>
      </c>
      <c r="AE9" s="195" t="str">
        <f t="shared" si="9"/>
        <v>-1365.60715849981+21.2604196497177i</v>
      </c>
      <c r="AF9" s="192">
        <f t="shared" si="10"/>
        <v>62.707568197666916</v>
      </c>
      <c r="AG9" s="195">
        <f t="shared" si="11"/>
        <v>179.10806419882482</v>
      </c>
      <c r="AI9" s="195" t="str">
        <f t="shared" si="12"/>
        <v>0.002-465.004121958498i</v>
      </c>
      <c r="AJ9" s="195">
        <f t="shared" si="13"/>
        <v>0.22500000000000001</v>
      </c>
      <c r="AK9" s="195" t="str">
        <f t="shared" si="14"/>
        <v>0.0375-930008.243916995i</v>
      </c>
      <c r="AL9" s="195" t="str">
        <f t="shared" si="15"/>
        <v>0.224999946800499-0.000108924411690057i</v>
      </c>
      <c r="AM9" s="195" t="str">
        <f t="shared" si="16"/>
        <v>0.898502495838376-1.30301153127985E-06i</v>
      </c>
      <c r="AN9" s="195" t="str">
        <f t="shared" si="17"/>
        <v>0.006+0.0000148122452614636i</v>
      </c>
      <c r="AO9" s="195" t="str">
        <f t="shared" si="26"/>
        <v>2.86374619959742-0.00114860103913176i</v>
      </c>
      <c r="AP9" s="195">
        <f t="shared" si="27"/>
        <v>9.1386912157803728</v>
      </c>
      <c r="AQ9" s="195">
        <f t="shared" si="28"/>
        <v>-2.2980384353521819E-2</v>
      </c>
      <c r="AS9" s="195" t="str">
        <f t="shared" si="18"/>
        <v>0.921951219510154-1.37190983565606E-06i</v>
      </c>
      <c r="AT9" s="195" t="str">
        <f t="shared" si="29"/>
        <v>2.87872011476555-0.00115948956850432i</v>
      </c>
      <c r="AU9" s="195">
        <f t="shared" si="30"/>
        <v>9.1839895525110027</v>
      </c>
      <c r="AV9" s="195">
        <f t="shared" si="31"/>
        <v>-2.3077566565585222E-2</v>
      </c>
    </row>
    <row r="10" spans="1:48" x14ac:dyDescent="0.2">
      <c r="A10" s="117" t="s">
        <v>199</v>
      </c>
      <c r="B10" s="204">
        <f>C10</f>
        <v>1.5E-10</v>
      </c>
      <c r="C10" s="219">
        <f>Cff</f>
        <v>1.5E-10</v>
      </c>
      <c r="D10" s="149" t="s">
        <v>239</v>
      </c>
      <c r="F10" s="195">
        <v>8</v>
      </c>
      <c r="G10" s="210">
        <f t="shared" si="0"/>
        <v>168.57931788687955</v>
      </c>
      <c r="H10" s="210">
        <f t="shared" si="1"/>
        <v>168.57881372500071</v>
      </c>
      <c r="I10" s="196">
        <f t="shared" si="2"/>
        <v>1</v>
      </c>
      <c r="J10" s="195">
        <f t="shared" si="19"/>
        <v>1</v>
      </c>
      <c r="K10" s="195">
        <f t="shared" si="20"/>
        <v>1</v>
      </c>
      <c r="L10" s="195">
        <f>10^('Small Signal'!F10/30)</f>
        <v>1.8478497974222912</v>
      </c>
      <c r="M10" s="195" t="str">
        <f t="shared" si="21"/>
        <v>11.6103826970385i</v>
      </c>
      <c r="N10" s="195">
        <f>IF(D$32=1, IF(AND('Small Signal'!$B$62&gt;=1,FCCM=0),V10+0,S10+0), 0)</f>
        <v>9.1386911066460073</v>
      </c>
      <c r="O10" s="195">
        <f>IF(D$32=1, IF(AND('Small Signal'!$B$62&gt;=1,FCCM=0),W10,T10), 0)</f>
        <v>-2.4813648044397358E-2</v>
      </c>
      <c r="P10" s="195">
        <f>IF(AND('Small Signal'!$B$62&gt;=1,FCCM=0),AF10+0,AC10+0)</f>
        <v>62.12583969878628</v>
      </c>
      <c r="Q10" s="195">
        <f>IF(AND('Small Signal'!$B$62&gt;=1,FCCM=0),AG10,AD10)</f>
        <v>179.03020481794672</v>
      </c>
      <c r="R10" s="195" t="str">
        <f>IMDIV(IMSUM('Small Signal'!$B$2*'Small Signal'!$B$39*'Small Signal'!$B$63,IMPRODUCT(M10,'Small Signal'!$B$2*'Small Signal'!$B$39*'Small Signal'!$B$63*'Small Signal'!$B$14*'Small Signal'!$B$15)),IMSUM(IMPRODUCT('Small Signal'!$B$12*'Small Signal'!$B$14*('Small Signal'!$B$15+'Small Signal'!$B$39),IMPOWER(M10,2)),IMSUM(IMPRODUCT(M10,('Small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2.61462130544802-0.00105140573159528i</v>
      </c>
      <c r="S10" s="195">
        <f t="shared" si="22"/>
        <v>9.1386911066460073</v>
      </c>
      <c r="T10" s="195">
        <f t="shared" si="23"/>
        <v>-2.4813648044397358E-2</v>
      </c>
      <c r="U10" s="195" t="str">
        <f>IMDIV(IMSUM('Small Signal'!$B$75,IMPRODUCT(M10,'Small Signal'!$B$76)),IMSUM(IMPRODUCT('Small Signal'!$B$79,IMPOWER(M10,2)),IMSUM(IMPRODUCT(M10,'Small Signal'!$B$78),'Small Signal'!$B$77)))</f>
        <v>3.06205015901117-0.000944939343970757i</v>
      </c>
      <c r="V10" s="195">
        <f t="shared" si="3"/>
        <v>9.7202464243292148</v>
      </c>
      <c r="W10" s="195">
        <f t="shared" si="4"/>
        <v>-1.7681302322041185E-2</v>
      </c>
      <c r="X10" s="195" t="str">
        <f>IMPRODUCT(IMDIV(IMSUM(IMPRODUCT(M10,'Small Signal'!$B$58*'Small Signal'!$B$6*'Small Signal'!$B$51*'Small Signal'!$B$7*'Small Signal'!$B$8),'Small Signal'!$B$58*'Small Signal'!$B$6*'Small Signal'!$B$51),IMSUM(IMSUM(IMPRODUCT(M10,('Small Signal'!$B$5+'Small Signal'!$B$6)*('Small Signal'!$B$57*'Small Signal'!$B$58)+'Small Signal'!$B$5*'Small Signal'!$B$58*('Small Signal'!$B$8+'Small Signal'!$B$9)+'Small Signal'!$B$6*'Small Signal'!$B$58*('Small Signal'!$B$8+'Small Signal'!$B$9)+'Small Signal'!$B$7*'Small Signal'!$B$8*('Small Signal'!$B$5+'Small Signal'!$B$6)),'Small Signal'!$B$6+'Small Signal'!$B$5),IMPRODUCT(IMPOWER(M10,2),'Small Signal'!$B$57*'Small Signal'!$B$58*'Small Signal'!$B$8*'Small Signal'!$B$7*('Small Signal'!$B$5+'Small Signal'!$B$6)+('Small Signal'!$B$5+'Small Signal'!$B$6)*('Small Signal'!$B$9*'Small Signal'!$B$8*'Small Signal'!$B$58*'Small Signal'!$B$7)))),-1)</f>
        <v>-445.962464273268+7.35917081847134i</v>
      </c>
      <c r="Y10" s="195">
        <f t="shared" si="5"/>
        <v>52.987148592140237</v>
      </c>
      <c r="Z10" s="195">
        <f t="shared" si="6"/>
        <v>179.05501846599114</v>
      </c>
      <c r="AA10" s="195" t="str">
        <f t="shared" si="7"/>
        <v>1.00000000004216+7.23505199430845E-06i</v>
      </c>
      <c r="AB10" s="195" t="str">
        <f t="shared" si="8"/>
        <v>-1277.11430859794+21.6186533338706i</v>
      </c>
      <c r="AC10" s="192">
        <f t="shared" si="24"/>
        <v>62.12583969878628</v>
      </c>
      <c r="AD10" s="195">
        <f t="shared" si="25"/>
        <v>179.03020481794672</v>
      </c>
      <c r="AE10" s="195" t="str">
        <f t="shared" si="9"/>
        <v>-1365.55248067093+22.9555576533165i</v>
      </c>
      <c r="AF10" s="192">
        <f t="shared" si="10"/>
        <v>62.707395015875932</v>
      </c>
      <c r="AG10" s="195">
        <f t="shared" si="11"/>
        <v>179.03692262572528</v>
      </c>
      <c r="AI10" s="195" t="str">
        <f t="shared" si="12"/>
        <v>0.002-430.649026002852i</v>
      </c>
      <c r="AJ10" s="195">
        <f t="shared" si="13"/>
        <v>0.22500000000000001</v>
      </c>
      <c r="AK10" s="195" t="str">
        <f t="shared" si="14"/>
        <v>0.0375-861298.052005705i</v>
      </c>
      <c r="AL10" s="195" t="str">
        <f t="shared" si="15"/>
        <v>0.224999937973937-0.000117613869659214i</v>
      </c>
      <c r="AM10" s="195" t="str">
        <f t="shared" si="16"/>
        <v>0.898502495838064-1.40695948770208E-06i</v>
      </c>
      <c r="AN10" s="195" t="str">
        <f t="shared" si="17"/>
        <v>0.006+0.0000159938945316347i</v>
      </c>
      <c r="AO10" s="195" t="str">
        <f t="shared" si="26"/>
        <v>2.8637461253986-0.00124023084231797i</v>
      </c>
      <c r="AP10" s="195">
        <f t="shared" si="27"/>
        <v>9.1386911066460073</v>
      </c>
      <c r="AQ10" s="195">
        <f t="shared" si="28"/>
        <v>-2.4813648044397358E-2</v>
      </c>
      <c r="AS10" s="195" t="str">
        <f t="shared" si="18"/>
        <v>0.921951219509814-1.48135416549395E-06i</v>
      </c>
      <c r="AT10" s="195" t="str">
        <f t="shared" si="29"/>
        <v>2.87872003946188-0.00125198800525265i</v>
      </c>
      <c r="AU10" s="195">
        <f t="shared" si="30"/>
        <v>9.1839894421960704</v>
      </c>
      <c r="AV10" s="195">
        <f t="shared" si="31"/>
        <v>-2.4918582979897807E-2</v>
      </c>
    </row>
    <row r="11" spans="1:48" x14ac:dyDescent="0.2">
      <c r="A11" s="117" t="s">
        <v>43</v>
      </c>
      <c r="B11" s="171">
        <f t="shared" si="32"/>
        <v>700000</v>
      </c>
      <c r="C11" s="217">
        <f>fsw</f>
        <v>700000</v>
      </c>
      <c r="D11" s="105" t="s">
        <v>237</v>
      </c>
      <c r="F11" s="195">
        <v>9</v>
      </c>
      <c r="G11" s="210">
        <f t="shared" si="0"/>
        <v>168.57935810647524</v>
      </c>
      <c r="H11" s="210">
        <f t="shared" si="1"/>
        <v>168.57881372500071</v>
      </c>
      <c r="I11" s="196">
        <f t="shared" si="2"/>
        <v>1</v>
      </c>
      <c r="J11" s="195">
        <f t="shared" si="19"/>
        <v>1</v>
      </c>
      <c r="K11" s="195">
        <f t="shared" si="20"/>
        <v>1</v>
      </c>
      <c r="L11" s="195">
        <f>10^('Small Signal'!F11/30)</f>
        <v>1.9952623149688797</v>
      </c>
      <c r="M11" s="195" t="str">
        <f t="shared" si="21"/>
        <v>12.5366028613816i</v>
      </c>
      <c r="N11" s="195">
        <f>IF(D$32=1, IF(AND('Small Signal'!$B$62&gt;=1,FCCM=0),V11+0,S11+0), 0)</f>
        <v>9.1386909794046769</v>
      </c>
      <c r="O11" s="195">
        <f>IF(D$32=1, IF(AND('Small Signal'!$B$62&gt;=1,FCCM=0),W11,T11), 0)</f>
        <v>-2.6793160591685471E-2</v>
      </c>
      <c r="P11" s="195">
        <f>IF(AND('Small Signal'!$B$62&gt;=1,FCCM=0),AF11+0,AC11+0)</f>
        <v>62.125637704411282</v>
      </c>
      <c r="Q11" s="195">
        <f>IF(AND('Small Signal'!$B$62&gt;=1,FCCM=0),AG11,AD11)</f>
        <v>178.95285530084288</v>
      </c>
      <c r="R11" s="195" t="str">
        <f>IMDIV(IMSUM('Small Signal'!$B$2*'Small Signal'!$B$39*'Small Signal'!$B$63,IMPRODUCT(M11,'Small Signal'!$B$2*'Small Signal'!$B$39*'Small Signal'!$B$63*'Small Signal'!$B$14*'Small Signal'!$B$15)),IMSUM(IMPRODUCT('Small Signal'!$B$12*'Small Signal'!$B$14*('Small Signal'!$B$15+'Small Signal'!$B$39),IMPOWER(M11,2)),IMSUM(IMPRODUCT(M11,('Small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2.61462123882327-0.0011352817671243i</v>
      </c>
      <c r="S11" s="195">
        <f t="shared" si="22"/>
        <v>9.1386909794046769</v>
      </c>
      <c r="T11" s="195">
        <f t="shared" si="23"/>
        <v>-2.6793160591685471E-2</v>
      </c>
      <c r="U11" s="195" t="str">
        <f>IMDIV(IMSUM('Small Signal'!$B$75,IMPRODUCT(M11,'Small Signal'!$B$76)),IMSUM(IMPRODUCT('Small Signal'!$B$79,IMPOWER(M11,2)),IMSUM(IMPRODUCT(M11,'Small Signal'!$B$78),'Small Signal'!$B$77)))</f>
        <v>3.06205012100384-0.00102032202437011i</v>
      </c>
      <c r="V11" s="195">
        <f t="shared" si="3"/>
        <v>9.7202463851368002</v>
      </c>
      <c r="W11" s="195">
        <f t="shared" si="4"/>
        <v>-1.9091831050051151E-2</v>
      </c>
      <c r="X11" s="195" t="str">
        <f>IMPRODUCT(IMDIV(IMSUM(IMPRODUCT(M11,'Small Signal'!$B$58*'Small Signal'!$B$6*'Small Signal'!$B$51*'Small Signal'!$B$7*'Small Signal'!$B$8),'Small Signal'!$B$58*'Small Signal'!$B$6*'Small Signal'!$B$51),IMSUM(IMSUM(IMPRODUCT(M11,('Small Signal'!$B$5+'Small Signal'!$B$6)*('Small Signal'!$B$57*'Small Signal'!$B$58)+'Small Signal'!$B$5*'Small Signal'!$B$58*('Small Signal'!$B$8+'Small Signal'!$B$9)+'Small Signal'!$B$6*'Small Signal'!$B$58*('Small Signal'!$B$8+'Small Signal'!$B$9)+'Small Signal'!$B$7*'Small Signal'!$B$8*('Small Signal'!$B$5+'Small Signal'!$B$6)),'Small Signal'!$B$6+'Small Signal'!$B$5),IMPRODUCT(IMPOWER(M11,2),'Small Signal'!$B$57*'Small Signal'!$B$58*'Small Signal'!$B$8*'Small Signal'!$B$7*('Small Signal'!$B$5+'Small Signal'!$B$6)+('Small Signal'!$B$5+'Small Signal'!$B$6)*('Small Signal'!$B$9*'Small Signal'!$B$8*'Small Signal'!$B$58*'Small Signal'!$B$7)))),-1)</f>
        <v>-445.942029001714+7.94588044080389i</v>
      </c>
      <c r="Y11" s="195">
        <f t="shared" si="5"/>
        <v>52.986946725006597</v>
      </c>
      <c r="Z11" s="195">
        <f t="shared" si="6"/>
        <v>178.97964846143455</v>
      </c>
      <c r="AA11" s="195" t="str">
        <f t="shared" si="7"/>
        <v>1.00000000004915+7.81222944155984E-06i</v>
      </c>
      <c r="AB11" s="195" t="str">
        <f t="shared" si="8"/>
        <v>-1277.05426073512+23.3421993737291i</v>
      </c>
      <c r="AC11" s="192">
        <f t="shared" si="24"/>
        <v>62.125637704411282</v>
      </c>
      <c r="AD11" s="195">
        <f t="shared" si="25"/>
        <v>178.95285530084288</v>
      </c>
      <c r="AE11" s="195" t="str">
        <f t="shared" si="9"/>
        <v>-1365.48873650858+24.7856886390283i</v>
      </c>
      <c r="AF11" s="192">
        <f t="shared" si="10"/>
        <v>62.707193109451431</v>
      </c>
      <c r="AG11" s="195">
        <f t="shared" si="11"/>
        <v>178.96010902260895</v>
      </c>
      <c r="AI11" s="195" t="str">
        <f t="shared" si="12"/>
        <v>0.002-398.832128231665i</v>
      </c>
      <c r="AJ11" s="195">
        <f t="shared" si="13"/>
        <v>0.22500000000000001</v>
      </c>
      <c r="AK11" s="195" t="str">
        <f t="shared" si="14"/>
        <v>0.0375-797664.256463329i</v>
      </c>
      <c r="AL11" s="195" t="str">
        <f t="shared" si="15"/>
        <v>0.224999927682924-0.000126996529343139i</v>
      </c>
      <c r="AM11" s="195" t="str">
        <f t="shared" si="16"/>
        <v>0.898502495837697-1.51919990922142E-06i</v>
      </c>
      <c r="AN11" s="195" t="str">
        <f t="shared" si="17"/>
        <v>0.006+0.0000172698100641481i</v>
      </c>
      <c r="AO11" s="195" t="str">
        <f t="shared" si="26"/>
        <v>2.86374603888913-0.00133917041985922i</v>
      </c>
      <c r="AP11" s="195">
        <f t="shared" si="27"/>
        <v>9.1386909794046769</v>
      </c>
      <c r="AQ11" s="195">
        <f t="shared" si="28"/>
        <v>-2.6793160591685471E-2</v>
      </c>
      <c r="AS11" s="195" t="str">
        <f t="shared" si="18"/>
        <v>0.921951219509419-1.59952943451038E-06i</v>
      </c>
      <c r="AT11" s="195" t="str">
        <f t="shared" si="29"/>
        <v>2.87871995166428-0.00135186551157478i</v>
      </c>
      <c r="AU11" s="195">
        <f t="shared" si="30"/>
        <v>9.1839893135783921</v>
      </c>
      <c r="AV11" s="195">
        <f t="shared" si="31"/>
        <v>-2.6906466724538176E-2</v>
      </c>
    </row>
    <row r="12" spans="1:48" x14ac:dyDescent="0.2">
      <c r="A12" s="117" t="s">
        <v>37</v>
      </c>
      <c r="B12" s="204">
        <f t="shared" si="32"/>
        <v>1.3775510204081631E-6</v>
      </c>
      <c r="C12" s="219">
        <f>L</f>
        <v>1.3775510204081631E-6</v>
      </c>
      <c r="D12" s="149" t="s">
        <v>238</v>
      </c>
      <c r="F12" s="195">
        <v>10</v>
      </c>
      <c r="G12" s="210">
        <f t="shared" si="0"/>
        <v>168.57940153459572</v>
      </c>
      <c r="H12" s="210">
        <f t="shared" si="1"/>
        <v>168.57881372500071</v>
      </c>
      <c r="I12" s="196">
        <f t="shared" si="2"/>
        <v>1</v>
      </c>
      <c r="J12" s="195">
        <f t="shared" si="19"/>
        <v>1</v>
      </c>
      <c r="K12" s="195">
        <f t="shared" si="20"/>
        <v>1</v>
      </c>
      <c r="L12" s="195">
        <f>10^('Small Signal'!F12/30)</f>
        <v>2.1544346900318838</v>
      </c>
      <c r="M12" s="195" t="str">
        <f t="shared" si="21"/>
        <v>13.5367123896863i</v>
      </c>
      <c r="N12" s="195">
        <f>IF(D$32=1, IF(AND('Small Signal'!$B$62&gt;=1,FCCM=0),V12+0,S12+0), 0)</f>
        <v>9.13869083105212</v>
      </c>
      <c r="O12" s="195">
        <f>IF(D$32=1, IF(AND('Small Signal'!$B$62&gt;=1,FCCM=0),W12,T12), 0)</f>
        <v>-2.8930589008152364E-2</v>
      </c>
      <c r="P12" s="195">
        <f>IF(AND('Small Signal'!$B$62&gt;=1,FCCM=0),AF12+0,AC12+0)</f>
        <v>62.125402208112497</v>
      </c>
      <c r="Q12" s="195">
        <f>IF(AND('Small Signal'!$B$62&gt;=1,FCCM=0),AG12,AD12)</f>
        <v>178.869339368239</v>
      </c>
      <c r="R12" s="195" t="str">
        <f>IMDIV(IMSUM('Small Signal'!$B$2*'Small Signal'!$B$39*'Small Signal'!$B$63,IMPRODUCT(M12,'Small Signal'!$B$2*'Small Signal'!$B$39*'Small Signal'!$B$63*'Small Signal'!$B$14*'Small Signal'!$B$15)),IMSUM(IMPRODUCT('Small Signal'!$B$12*'Small Signal'!$B$14*('Small Signal'!$B$15+'Small Signal'!$B$39),IMPOWER(M12,2)),IMSUM(IMPRODUCT(M12,('Small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2.61462116114452-0.00122584901991334i</v>
      </c>
      <c r="S12" s="195">
        <f t="shared" si="22"/>
        <v>9.13869083105212</v>
      </c>
      <c r="T12" s="195">
        <f t="shared" si="23"/>
        <v>-2.8930589008152364E-2</v>
      </c>
      <c r="U12" s="195" t="str">
        <f>IMDIV(IMSUM('Small Signal'!$B$75,IMPRODUCT(M12,'Small Signal'!$B$76)),IMSUM(IMPRODUCT('Small Signal'!$B$79,IMPOWER(M12,2)),IMSUM(IMPRODUCT(M12,'Small Signal'!$B$78),'Small Signal'!$B$77)))</f>
        <v>3.06205007669054-0.00110171836796434i</v>
      </c>
      <c r="V12" s="195">
        <f t="shared" si="3"/>
        <v>9.7202463394417737</v>
      </c>
      <c r="W12" s="195">
        <f t="shared" si="4"/>
        <v>-2.0614884927270136E-2</v>
      </c>
      <c r="X12" s="195" t="str">
        <f>IMPRODUCT(IMDIV(IMSUM(IMPRODUCT(M12,'Small Signal'!$B$58*'Small Signal'!$B$6*'Small Signal'!$B$51*'Small Signal'!$B$7*'Small Signal'!$B$8),'Small Signal'!$B$58*'Small Signal'!$B$6*'Small Signal'!$B$51),IMSUM(IMSUM(IMPRODUCT(M12,('Small Signal'!$B$5+'Small Signal'!$B$6)*('Small Signal'!$B$57*'Small Signal'!$B$58)+'Small Signal'!$B$5*'Small Signal'!$B$58*('Small Signal'!$B$8+'Small Signal'!$B$9)+'Small Signal'!$B$6*'Small Signal'!$B$58*('Small Signal'!$B$8+'Small Signal'!$B$9)+'Small Signal'!$B$7*'Small Signal'!$B$8*('Small Signal'!$B$5+'Small Signal'!$B$6)),'Small Signal'!$B$6+'Small Signal'!$B$5),IMPRODUCT(IMPOWER(M12,2),'Small Signal'!$B$57*'Small Signal'!$B$58*'Small Signal'!$B$8*'Small Signal'!$B$7*('Small Signal'!$B$5+'Small Signal'!$B$6)+('Small Signal'!$B$5+'Small Signal'!$B$6)*('Small Signal'!$B$9*'Small Signal'!$B$8*'Small Signal'!$B$58*'Small Signal'!$B$7)))),-1)</f>
        <v>-445.918205623317+8.57929931198441i</v>
      </c>
      <c r="Y12" s="195">
        <f t="shared" si="5"/>
        <v>52.986711377060409</v>
      </c>
      <c r="Z12" s="195">
        <f t="shared" si="6"/>
        <v>178.89826995724718</v>
      </c>
      <c r="AA12" s="195" t="str">
        <f t="shared" si="7"/>
        <v>1.00000000005731+8.43545131334618E-06i</v>
      </c>
      <c r="AB12" s="195" t="str">
        <f t="shared" si="8"/>
        <v>-1276.98425711647+25.2029606426267i</v>
      </c>
      <c r="AC12" s="192">
        <f t="shared" si="24"/>
        <v>62.125402208112497</v>
      </c>
      <c r="AD12" s="195">
        <f t="shared" si="25"/>
        <v>178.869339368239</v>
      </c>
      <c r="AE12" s="195" t="str">
        <f t="shared" si="9"/>
        <v>-1365.41442375495+26.7615203939579i</v>
      </c>
      <c r="AF12" s="192">
        <f t="shared" si="10"/>
        <v>62.70695771569536</v>
      </c>
      <c r="AG12" s="195">
        <f t="shared" si="11"/>
        <v>178.87717175656138</v>
      </c>
      <c r="AI12" s="195" t="str">
        <f t="shared" si="12"/>
        <v>0.002-369.36590333481i</v>
      </c>
      <c r="AJ12" s="195">
        <f t="shared" si="13"/>
        <v>0.22500000000000001</v>
      </c>
      <c r="AK12" s="195" t="str">
        <f t="shared" si="14"/>
        <v>0.0375-738731.806669621i</v>
      </c>
      <c r="AL12" s="195" t="str">
        <f t="shared" si="15"/>
        <v>0.224999915684484-0.000137127690709078i</v>
      </c>
      <c r="AM12" s="195" t="str">
        <f t="shared" si="16"/>
        <v>0.898502495837271-1.64039432858701E-06i</v>
      </c>
      <c r="AN12" s="195" t="str">
        <f t="shared" si="17"/>
        <v>0.006+0.0000186475119653842i</v>
      </c>
      <c r="AO12" s="195" t="str">
        <f t="shared" si="26"/>
        <v>2.86374593802648-0.00144600290810219i</v>
      </c>
      <c r="AP12" s="195">
        <f t="shared" si="27"/>
        <v>9.13869083105212</v>
      </c>
      <c r="AQ12" s="195">
        <f t="shared" si="28"/>
        <v>-2.8930589008152364E-2</v>
      </c>
      <c r="AS12" s="195" t="str">
        <f t="shared" si="18"/>
        <v>0.921951219508961-1.72713215479552E-06i</v>
      </c>
      <c r="AT12" s="195" t="str">
        <f t="shared" si="29"/>
        <v>2.87871984929979-0.00145971075181204i</v>
      </c>
      <c r="AU12" s="195">
        <f t="shared" si="30"/>
        <v>9.183989163621165</v>
      </c>
      <c r="AV12" s="195">
        <f t="shared" si="31"/>
        <v>-2.9052934150907411E-2</v>
      </c>
    </row>
    <row r="13" spans="1:48" x14ac:dyDescent="0.2">
      <c r="A13" s="117" t="s">
        <v>17</v>
      </c>
      <c r="B13" s="171">
        <f t="shared" si="32"/>
        <v>6.0000000000000001E-3</v>
      </c>
      <c r="C13" s="220">
        <f>Rdc</f>
        <v>6.0000000000000001E-3</v>
      </c>
      <c r="D13" s="105" t="s">
        <v>109</v>
      </c>
      <c r="F13" s="195">
        <v>11</v>
      </c>
      <c r="G13" s="210">
        <f t="shared" si="0"/>
        <v>168.57944842720156</v>
      </c>
      <c r="H13" s="210">
        <f t="shared" si="1"/>
        <v>168.57881372500071</v>
      </c>
      <c r="I13" s="196">
        <f t="shared" si="2"/>
        <v>1</v>
      </c>
      <c r="J13" s="195">
        <f t="shared" si="19"/>
        <v>1</v>
      </c>
      <c r="K13" s="195">
        <f t="shared" si="20"/>
        <v>1</v>
      </c>
      <c r="L13" s="195">
        <f>10^('Small Signal'!F13/30)</f>
        <v>2.3263050671536263</v>
      </c>
      <c r="M13" s="195" t="str">
        <f t="shared" si="21"/>
        <v>14.6166058179571i</v>
      </c>
      <c r="N13" s="195">
        <f>IF(D$32=1, IF(AND('Small Signal'!$B$62&gt;=1,FCCM=0),V13+0,S13+0), 0)</f>
        <v>9.1386906580858014</v>
      </c>
      <c r="O13" s="195">
        <f>IF(D$32=1, IF(AND('Small Signal'!$B$62&gt;=1,FCCM=0),W13,T13), 0)</f>
        <v>-3.1238531040908492E-2</v>
      </c>
      <c r="P13" s="195">
        <f>IF(AND('Small Signal'!$B$62&gt;=1,FCCM=0),AF13+0,AC13+0)</f>
        <v>62.125127655695707</v>
      </c>
      <c r="Q13" s="195">
        <f>IF(AND('Small Signal'!$B$62&gt;=1,FCCM=0),AG13,AD13)</f>
        <v>178.77916616854571</v>
      </c>
      <c r="R13" s="195" t="str">
        <f>IMDIV(IMSUM('Small Signal'!$B$2*'Small Signal'!$B$39*'Small Signal'!$B$63,IMPRODUCT(M13,'Small Signal'!$B$2*'Small Signal'!$B$39*'Small Signal'!$B$63*'Small Signal'!$B$14*'Small Signal'!$B$15)),IMSUM(IMPRODUCT('Small Signal'!$B$12*'Small Signal'!$B$14*('Small Signal'!$B$15+'Small Signal'!$B$39),IMPOWER(M13,2)),IMSUM(IMPRODUCT(M13,('Small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2.61462107057776-0.0013236412810698i</v>
      </c>
      <c r="S13" s="195">
        <f t="shared" si="22"/>
        <v>9.1386906580858014</v>
      </c>
      <c r="T13" s="195">
        <f t="shared" si="23"/>
        <v>-3.1238531040908492E-2</v>
      </c>
      <c r="U13" s="195" t="str">
        <f>IMDIV(IMSUM('Small Signal'!$B$75,IMPRODUCT(M13,'Small Signal'!$B$76)),IMSUM(IMPRODUCT('Small Signal'!$B$79,IMPOWER(M13,2)),IMSUM(IMPRODUCT(M13,'Small Signal'!$B$78),'Small Signal'!$B$77)))</f>
        <v>3.06205002502504-0.00118960811509722i</v>
      </c>
      <c r="V13" s="195">
        <f t="shared" si="3"/>
        <v>9.7202462861653256</v>
      </c>
      <c r="W13" s="195">
        <f t="shared" si="4"/>
        <v>-2.2259440663403348E-2</v>
      </c>
      <c r="X13" s="195" t="str">
        <f>IMPRODUCT(IMDIV(IMSUM(IMPRODUCT(M13,'Small Signal'!$B$58*'Small Signal'!$B$6*'Small Signal'!$B$51*'Small Signal'!$B$7*'Small Signal'!$B$8),'Small Signal'!$B$58*'Small Signal'!$B$6*'Small Signal'!$B$51),IMSUM(IMSUM(IMPRODUCT(M13,('Small Signal'!$B$5+'Small Signal'!$B$6)*('Small Signal'!$B$57*'Small Signal'!$B$58)+'Small Signal'!$B$5*'Small Signal'!$B$58*('Small Signal'!$B$8+'Small Signal'!$B$9)+'Small Signal'!$B$6*'Small Signal'!$B$58*('Small Signal'!$B$8+'Small Signal'!$B$9)+'Small Signal'!$B$7*'Small Signal'!$B$8*('Small Signal'!$B$5+'Small Signal'!$B$6)),'Small Signal'!$B$6+'Small Signal'!$B$5),IMPRODUCT(IMPOWER(M13,2),'Small Signal'!$B$57*'Small Signal'!$B$58*'Small Signal'!$B$8*'Small Signal'!$B$7*('Small Signal'!$B$5+'Small Signal'!$B$6)+('Small Signal'!$B$5+'Small Signal'!$B$6)*('Small Signal'!$B$9*'Small Signal'!$B$8*'Small Signal'!$B$58*'Small Signal'!$B$7)))),-1)</f>
        <v>-445.890432863924+9.26312893686131i</v>
      </c>
      <c r="Y13" s="195">
        <f t="shared" si="5"/>
        <v>52.986436997609893</v>
      </c>
      <c r="Z13" s="195">
        <f t="shared" si="6"/>
        <v>178.81040469958663</v>
      </c>
      <c r="AA13" s="195" t="str">
        <f t="shared" si="7"/>
        <v>1.00000000006681+9.10839081110611E-06i</v>
      </c>
      <c r="AB13" s="195" t="str">
        <f t="shared" si="8"/>
        <v>-1276.9026484704+27.2118108305836i</v>
      </c>
      <c r="AC13" s="192">
        <f t="shared" si="24"/>
        <v>62.125127655695707</v>
      </c>
      <c r="AD13" s="195">
        <f t="shared" si="25"/>
        <v>178.77916616854571</v>
      </c>
      <c r="AE13" s="195" t="str">
        <f t="shared" si="9"/>
        <v>-1365.32779161605+28.8945990703055i</v>
      </c>
      <c r="AF13" s="192">
        <f t="shared" si="10"/>
        <v>62.706683282834618</v>
      </c>
      <c r="AG13" s="195">
        <f t="shared" si="11"/>
        <v>178.78762338657162</v>
      </c>
      <c r="AI13" s="195" t="str">
        <f t="shared" si="12"/>
        <v>0.002-342.076680610576i</v>
      </c>
      <c r="AJ13" s="195">
        <f t="shared" si="13"/>
        <v>0.22500000000000001</v>
      </c>
      <c r="AK13" s="195" t="str">
        <f t="shared" si="14"/>
        <v>0.0375-684153.361221152i</v>
      </c>
      <c r="AL13" s="195" t="str">
        <f t="shared" si="15"/>
        <v>0.224999901695332-0.000148067065207343i</v>
      </c>
      <c r="AM13" s="195" t="str">
        <f t="shared" si="16"/>
        <v>0.898502495836774-1.77125705243052E-06i</v>
      </c>
      <c r="AN13" s="195" t="str">
        <f t="shared" si="17"/>
        <v>0.006+0.0000201351202594307i</v>
      </c>
      <c r="AO13" s="195" t="str">
        <f t="shared" si="26"/>
        <v>2.86374582042929-0.00156135796264944i</v>
      </c>
      <c r="AP13" s="195">
        <f t="shared" si="27"/>
        <v>9.1386906580858014</v>
      </c>
      <c r="AQ13" s="195">
        <f t="shared" si="28"/>
        <v>-3.1238531040908492E-2</v>
      </c>
      <c r="AS13" s="195" t="str">
        <f t="shared" si="18"/>
        <v>0.921951219508424-1.86491440280467E-06i</v>
      </c>
      <c r="AT13" s="195" t="str">
        <f t="shared" si="29"/>
        <v>2.87871972995153-0.00157615935054726i</v>
      </c>
      <c r="AU13" s="195">
        <f t="shared" si="30"/>
        <v>9.1839889887837707</v>
      </c>
      <c r="AV13" s="195">
        <f t="shared" si="31"/>
        <v>-3.1370636280691401E-2</v>
      </c>
    </row>
    <row r="14" spans="1:48" x14ac:dyDescent="0.2">
      <c r="A14" s="117" t="s">
        <v>35</v>
      </c>
      <c r="B14" s="204">
        <f t="shared" si="32"/>
        <v>1.9999999999999998E-4</v>
      </c>
      <c r="C14" s="219">
        <f>Co</f>
        <v>1.9999999999999998E-4</v>
      </c>
      <c r="D14" s="149" t="s">
        <v>239</v>
      </c>
      <c r="F14" s="195">
        <v>12</v>
      </c>
      <c r="G14" s="210">
        <f t="shared" si="0"/>
        <v>168.57949906067265</v>
      </c>
      <c r="H14" s="210">
        <f t="shared" si="1"/>
        <v>168.57881372500071</v>
      </c>
      <c r="I14" s="196">
        <f t="shared" si="2"/>
        <v>1</v>
      </c>
      <c r="J14" s="195">
        <f t="shared" si="19"/>
        <v>1</v>
      </c>
      <c r="K14" s="195">
        <f t="shared" si="20"/>
        <v>1</v>
      </c>
      <c r="L14" s="195">
        <f>10^('Small Signal'!F14/30)</f>
        <v>2.5118864315095806</v>
      </c>
      <c r="M14" s="195" t="str">
        <f t="shared" si="21"/>
        <v>15.7826479197648i</v>
      </c>
      <c r="N14" s="195">
        <f>IF(D$32=1, IF(AND('Small Signal'!$B$62&gt;=1,FCCM=0),V14+0,S14+0), 0)</f>
        <v>9.1386904564219638</v>
      </c>
      <c r="O14" s="195">
        <f>IF(D$32=1, IF(AND('Small Signal'!$B$62&gt;=1,FCCM=0),W14,T14), 0)</f>
        <v>-3.3730589419984143E-2</v>
      </c>
      <c r="P14" s="195">
        <f>IF(AND('Small Signal'!$B$62&gt;=1,FCCM=0),AF14+0,AC14+0)</f>
        <v>62.124807572974696</v>
      </c>
      <c r="Q14" s="195">
        <f>IF(AND('Small Signal'!$B$62&gt;=1,FCCM=0),AG14,AD14)</f>
        <v>178.68180597053998</v>
      </c>
      <c r="R14" s="195" t="str">
        <f>IMDIV(IMSUM('Small Signal'!$B$2*'Small Signal'!$B$39*'Small Signal'!$B$63,IMPRODUCT(M14,'Small Signal'!$B$2*'Small Signal'!$B$39*'Small Signal'!$B$63*'Small Signal'!$B$14*'Small Signal'!$B$15)),IMSUM(IMPRODUCT('Small Signal'!$B$12*'Small Signal'!$B$14*('Small Signal'!$B$15+'Small Signal'!$B$39),IMPOWER(M14,2)),IMSUM(IMPRODUCT(M14,('Small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2.61462096498467-0.00142923492449799i</v>
      </c>
      <c r="S14" s="195">
        <f t="shared" si="22"/>
        <v>9.1386904564219638</v>
      </c>
      <c r="T14" s="195">
        <f t="shared" si="23"/>
        <v>-3.3730589419984143E-2</v>
      </c>
      <c r="U14" s="195" t="str">
        <f>IMDIV(IMSUM('Small Signal'!$B$75,IMPRODUCT(M14,'Small Signal'!$B$76)),IMSUM(IMPRODUCT('Small Signal'!$B$79,IMPOWER(M14,2)),IMSUM(IMPRODUCT(M14,'Small Signal'!$B$78),'Small Signal'!$B$77)))</f>
        <v>3.06204996478748-0.00128450927731732i</v>
      </c>
      <c r="V14" s="195">
        <f t="shared" si="3"/>
        <v>9.720246224049518</v>
      </c>
      <c r="W14" s="195">
        <f t="shared" si="4"/>
        <v>-2.4035191086023151E-2</v>
      </c>
      <c r="X14" s="195" t="str">
        <f>IMPRODUCT(IMDIV(IMSUM(IMPRODUCT(M14,'Small Signal'!$B$58*'Small Signal'!$B$6*'Small Signal'!$B$51*'Small Signal'!$B$7*'Small Signal'!$B$8),'Small Signal'!$B$58*'Small Signal'!$B$6*'Small Signal'!$B$51),IMSUM(IMSUM(IMPRODUCT(M14,('Small Signal'!$B$5+'Small Signal'!$B$6)*('Small Signal'!$B$57*'Small Signal'!$B$58)+'Small Signal'!$B$5*'Small Signal'!$B$58*('Small Signal'!$B$8+'Small Signal'!$B$9)+'Small Signal'!$B$6*'Small Signal'!$B$58*('Small Signal'!$B$8+'Small Signal'!$B$9)+'Small Signal'!$B$7*'Small Signal'!$B$8*('Small Signal'!$B$5+'Small Signal'!$B$6)),'Small Signal'!$B$6+'Small Signal'!$B$5),IMPRODUCT(IMPOWER(M14,2),'Small Signal'!$B$57*'Small Signal'!$B$58*'Small Signal'!$B$8*'Small Signal'!$B$7*('Small Signal'!$B$5+'Small Signal'!$B$6)+('Small Signal'!$B$5+'Small Signal'!$B$6)*('Small Signal'!$B$9*'Small Signal'!$B$8*'Small Signal'!$B$58*'Small Signal'!$B$7)))),-1)</f>
        <v>-445.858056635206+10.0013597146495i</v>
      </c>
      <c r="Y14" s="195">
        <f t="shared" si="5"/>
        <v>52.986117116552755</v>
      </c>
      <c r="Z14" s="195">
        <f t="shared" si="6"/>
        <v>178.71553655995999</v>
      </c>
      <c r="AA14" s="195" t="str">
        <f t="shared" si="7"/>
        <v>1.0000000000779+9.83501416651857E-06i</v>
      </c>
      <c r="AB14" s="195" t="str">
        <f t="shared" si="8"/>
        <v>-1276.80751279626+29.3804722901198i</v>
      </c>
      <c r="AC14" s="192">
        <f t="shared" si="24"/>
        <v>62.124807572974696</v>
      </c>
      <c r="AD14" s="195">
        <f t="shared" si="25"/>
        <v>178.68180597053998</v>
      </c>
      <c r="AE14" s="195" t="str">
        <f t="shared" si="9"/>
        <v>-1365.22679978071+31.197371972184i</v>
      </c>
      <c r="AF14" s="192">
        <f t="shared" si="10"/>
        <v>62.706363339505565</v>
      </c>
      <c r="AG14" s="195">
        <f t="shared" si="11"/>
        <v>178.69093786407086</v>
      </c>
      <c r="AI14" s="195" t="str">
        <f t="shared" si="12"/>
        <v>0.002-316.803620369586i</v>
      </c>
      <c r="AJ14" s="195">
        <f t="shared" si="13"/>
        <v>0.22500000000000001</v>
      </c>
      <c r="AK14" s="195" t="str">
        <f t="shared" si="14"/>
        <v>0.0375-633607.240739172i</v>
      </c>
      <c r="AL14" s="195" t="str">
        <f t="shared" si="15"/>
        <v>0.22499988538518-0.000159879127677156i</v>
      </c>
      <c r="AM14" s="195" t="str">
        <f t="shared" si="16"/>
        <v>0.898502495836194-1.91255937131103E-06i</v>
      </c>
      <c r="AN14" s="195" t="str">
        <f t="shared" si="17"/>
        <v>0.006+0.0000217414027466148i</v>
      </c>
      <c r="AO14" s="195" t="str">
        <f t="shared" si="26"/>
        <v>2.86374568332107-0.00168591546930035i</v>
      </c>
      <c r="AP14" s="195">
        <f t="shared" si="27"/>
        <v>9.1386904564219638</v>
      </c>
      <c r="AQ14" s="195">
        <f t="shared" si="28"/>
        <v>-3.3730589419984143E-2</v>
      </c>
      <c r="AS14" s="195" t="str">
        <f t="shared" si="18"/>
        <v>0.921951219507796-2.01368825201433E-06i</v>
      </c>
      <c r="AT14" s="195" t="str">
        <f t="shared" si="29"/>
        <v>2.87871959080172-0.00170189763872266i</v>
      </c>
      <c r="AU14" s="195">
        <f t="shared" si="30"/>
        <v>9.1839887849384407</v>
      </c>
      <c r="AV14" s="195">
        <f t="shared" si="31"/>
        <v>-3.3873233368412352E-2</v>
      </c>
    </row>
    <row r="15" spans="1:48" x14ac:dyDescent="0.2">
      <c r="A15" s="117" t="s">
        <v>80</v>
      </c>
      <c r="B15" s="171">
        <f t="shared" si="32"/>
        <v>2E-3</v>
      </c>
      <c r="C15" s="220">
        <f>ESR</f>
        <v>2E-3</v>
      </c>
      <c r="D15" s="105" t="s">
        <v>109</v>
      </c>
      <c r="F15" s="195">
        <v>13</v>
      </c>
      <c r="G15" s="210">
        <f t="shared" si="0"/>
        <v>168.57955373343711</v>
      </c>
      <c r="H15" s="210">
        <f t="shared" si="1"/>
        <v>168.57881372500071</v>
      </c>
      <c r="I15" s="196">
        <f t="shared" si="2"/>
        <v>1</v>
      </c>
      <c r="J15" s="195">
        <f t="shared" si="19"/>
        <v>1</v>
      </c>
      <c r="K15" s="195">
        <f t="shared" si="20"/>
        <v>1</v>
      </c>
      <c r="L15" s="195">
        <f>10^('Small Signal'!F15/30)</f>
        <v>2.7122725793320286</v>
      </c>
      <c r="M15" s="195" t="str">
        <f t="shared" si="21"/>
        <v>17.0417112195251i</v>
      </c>
      <c r="N15" s="195">
        <f>IF(D$32=1, IF(AND('Small Signal'!$B$62&gt;=1,FCCM=0),V15+0,S15+0), 0)</f>
        <v>9.1386902212990258</v>
      </c>
      <c r="O15" s="195">
        <f>IF(D$32=1, IF(AND('Small Signal'!$B$62&gt;=1,FCCM=0),W15,T15), 0)</f>
        <v>-3.6421452029870606E-2</v>
      </c>
      <c r="P15" s="195">
        <f>IF(AND('Small Signal'!$B$62&gt;=1,FCCM=0),AF15+0,AC15+0)</f>
        <v>62.124434413679865</v>
      </c>
      <c r="Q15" s="195">
        <f>IF(AND('Small Signal'!$B$62&gt;=1,FCCM=0),AG15,AD15)</f>
        <v>178.57668713362705</v>
      </c>
      <c r="R15" s="195" t="str">
        <f>IMDIV(IMSUM('Small Signal'!$B$2*'Small Signal'!$B$39*'Small Signal'!$B$63,IMPRODUCT(M15,'Small Signal'!$B$2*'Small Signal'!$B$39*'Small Signal'!$B$63*'Small Signal'!$B$14*'Small Signal'!$B$15)),IMSUM(IMPRODUCT('Small Signal'!$B$12*'Small Signal'!$B$14*('Small Signal'!$B$15+'Small Signal'!$B$39),IMPOWER(M15,2)),IMSUM(IMPRODUCT(M15,('Small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2.61462084187218-0.00154325230382561i</v>
      </c>
      <c r="S15" s="195">
        <f t="shared" si="22"/>
        <v>9.1386902212990258</v>
      </c>
      <c r="T15" s="195">
        <f t="shared" si="23"/>
        <v>-3.6421452029870606E-2</v>
      </c>
      <c r="U15" s="195" t="str">
        <f>IMDIV(IMSUM('Small Signal'!$B$75,IMPRODUCT(M15,'Small Signal'!$B$76)),IMSUM(IMPRODUCT('Small Signal'!$B$79,IMPOWER(M15,2)),IMSUM(IMPRODUCT(M15,'Small Signal'!$B$78),'Small Signal'!$B$77)))</f>
        <v>3.06204989455564-0.00138698119042853i</v>
      </c>
      <c r="V15" s="195">
        <f t="shared" si="3"/>
        <v>9.7202461516277907</v>
      </c>
      <c r="W15" s="195">
        <f t="shared" si="4"/>
        <v>-2.595260226883269E-2</v>
      </c>
      <c r="X15" s="195" t="str">
        <f>IMPRODUCT(IMDIV(IMSUM(IMPRODUCT(M15,'Small Signal'!$B$58*'Small Signal'!$B$6*'Small Signal'!$B$51*'Small Signal'!$B$7*'Small Signal'!$B$8),'Small Signal'!$B$58*'Small Signal'!$B$6*'Small Signal'!$B$51),IMSUM(IMSUM(IMPRODUCT(M15,('Small Signal'!$B$5+'Small Signal'!$B$6)*('Small Signal'!$B$57*'Small Signal'!$B$58)+'Small Signal'!$B$5*'Small Signal'!$B$58*('Small Signal'!$B$8+'Small Signal'!$B$9)+'Small Signal'!$B$6*'Small Signal'!$B$58*('Small Signal'!$B$8+'Small Signal'!$B$9)+'Small Signal'!$B$7*'Small Signal'!$B$8*('Small Signal'!$B$5+'Small Signal'!$B$6)),'Small Signal'!$B$6+'Small Signal'!$B$5),IMPRODUCT(IMPOWER(M15,2),'Small Signal'!$B$57*'Small Signal'!$B$58*'Small Signal'!$B$8*'Small Signal'!$B$7*('Small Signal'!$B$5+'Small Signal'!$B$6)+('Small Signal'!$B$5+'Small Signal'!$B$6)*('Small Signal'!$B$9*'Small Signal'!$B$8*'Small Signal'!$B$58*'Small Signal'!$B$7)))),-1)</f>
        <v>-445.820314746425+10.7982923347947i</v>
      </c>
      <c r="Y15" s="195">
        <f t="shared" si="5"/>
        <v>52.985744192380849</v>
      </c>
      <c r="Z15" s="195">
        <f t="shared" si="6"/>
        <v>178.61310858565693</v>
      </c>
      <c r="AA15" s="195" t="str">
        <f t="shared" si="7"/>
        <v>1.00000000009082+0.0000106196040180373i</v>
      </c>
      <c r="AB15" s="195" t="str">
        <f t="shared" si="8"/>
        <v>-1276.69661044068+31.7215788878315i</v>
      </c>
      <c r="AC15" s="192">
        <f t="shared" si="24"/>
        <v>62.124434413679865</v>
      </c>
      <c r="AD15" s="195">
        <f t="shared" si="25"/>
        <v>178.57668713362705</v>
      </c>
      <c r="AE15" s="195" t="str">
        <f t="shared" si="9"/>
        <v>-1365.1090707317+33.6832542960033i</v>
      </c>
      <c r="AF15" s="192">
        <f t="shared" si="10"/>
        <v>62.705990342730033</v>
      </c>
      <c r="AG15" s="195">
        <f t="shared" si="11"/>
        <v>178.58654752489784</v>
      </c>
      <c r="AI15" s="195" t="str">
        <f t="shared" si="12"/>
        <v>0.002-293.397765963278i</v>
      </c>
      <c r="AJ15" s="195">
        <f t="shared" si="13"/>
        <v>0.22500000000000001</v>
      </c>
      <c r="AK15" s="195" t="str">
        <f t="shared" si="14"/>
        <v>0.0375-586795.531926557i</v>
      </c>
      <c r="AL15" s="195" t="str">
        <f t="shared" si="15"/>
        <v>0.224999866368942-0.000172633496320442i</v>
      </c>
      <c r="AM15" s="195" t="str">
        <f t="shared" si="16"/>
        <v>0.898502495835519-0.0000020651341056172i</v>
      </c>
      <c r="AN15" s="195" t="str">
        <f t="shared" si="17"/>
        <v>0.006+0.000023475826679958i</v>
      </c>
      <c r="AO15" s="195" t="str">
        <f t="shared" si="26"/>
        <v>2.86374552346458-0.00182040955099709i</v>
      </c>
      <c r="AP15" s="195">
        <f t="shared" si="27"/>
        <v>9.1386902212990258</v>
      </c>
      <c r="AQ15" s="195">
        <f t="shared" si="28"/>
        <v>-3.6421452029870606E-2</v>
      </c>
      <c r="AS15" s="195" t="str">
        <f t="shared" si="18"/>
        <v>0.921951219507067-2.17433055919445E-06i</v>
      </c>
      <c r="AT15" s="195" t="str">
        <f t="shared" si="29"/>
        <v>2.87871942856497-0.00183766669856801i</v>
      </c>
      <c r="AU15" s="195">
        <f t="shared" si="30"/>
        <v>9.1839885472722536</v>
      </c>
      <c r="AV15" s="195">
        <f t="shared" si="31"/>
        <v>-3.6575475411986948E-2</v>
      </c>
    </row>
    <row r="16" spans="1:48" x14ac:dyDescent="0.2">
      <c r="A16" s="117" t="s">
        <v>319</v>
      </c>
      <c r="B16" s="204">
        <f t="shared" si="32"/>
        <v>9.9999999999999995E-8</v>
      </c>
      <c r="C16" s="219">
        <f>Co_2</f>
        <v>9.9999999999999995E-8</v>
      </c>
      <c r="D16" s="149" t="s">
        <v>239</v>
      </c>
      <c r="F16" s="195">
        <v>14</v>
      </c>
      <c r="G16" s="210">
        <f t="shared" si="0"/>
        <v>168.57961276773023</v>
      </c>
      <c r="H16" s="210">
        <f t="shared" si="1"/>
        <v>168.57881372500071</v>
      </c>
      <c r="I16" s="196">
        <f t="shared" si="2"/>
        <v>1</v>
      </c>
      <c r="J16" s="195">
        <f t="shared" si="19"/>
        <v>1</v>
      </c>
      <c r="K16" s="195">
        <f t="shared" si="20"/>
        <v>1</v>
      </c>
      <c r="L16" s="195">
        <f>10^('Small Signal'!F16/30)</f>
        <v>2.9286445646252366</v>
      </c>
      <c r="M16" s="195" t="str">
        <f t="shared" si="21"/>
        <v>18.4012164984046i</v>
      </c>
      <c r="N16" s="195">
        <f>IF(D$32=1, IF(AND('Small Signal'!$B$62&gt;=1,FCCM=0),V16+0,S16+0), 0)</f>
        <v>9.138689947165922</v>
      </c>
      <c r="O16" s="195">
        <f>IF(D$32=1, IF(AND('Small Signal'!$B$62&gt;=1,FCCM=0),W16,T16), 0)</f>
        <v>-3.9326978476455034E-2</v>
      </c>
      <c r="P16" s="195">
        <f>IF(AND('Small Signal'!$B$62&gt;=1,FCCM=0),AF16+0,AC16+0)</f>
        <v>62.123999382330865</v>
      </c>
      <c r="Q16" s="195">
        <f>IF(AND('Small Signal'!$B$62&gt;=1,FCCM=0),AG16,AD16)</f>
        <v>178.46319285495977</v>
      </c>
      <c r="R16" s="195" t="str">
        <f>IMDIV(IMSUM('Small Signal'!$B$2*'Small Signal'!$B$39*'Small Signal'!$B$63,IMPRODUCT(M16,'Small Signal'!$B$2*'Small Signal'!$B$39*'Small Signal'!$B$63*'Small Signal'!$B$14*'Small Signal'!$B$15)),IMSUM(IMPRODUCT('Small Signal'!$B$12*'Small Signal'!$B$14*('Small Signal'!$B$15+'Small Signal'!$B$39),IMPOWER(M16,2)),IMSUM(IMPRODUCT(M16,('Small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2.61462069833356-0.00166636542028873i</v>
      </c>
      <c r="S16" s="195">
        <f t="shared" si="22"/>
        <v>9.138689947165922</v>
      </c>
      <c r="T16" s="195">
        <f t="shared" si="23"/>
        <v>-3.9326978476455034E-2</v>
      </c>
      <c r="U16" s="195" t="str">
        <f>IMDIV(IMSUM('Small Signal'!$B$75,IMPRODUCT(M16,'Small Signal'!$B$76)),IMSUM(IMPRODUCT('Small Signal'!$B$79,IMPOWER(M16,2)),IMSUM(IMPRODUCT(M16,'Small Signal'!$B$78),'Small Signal'!$B$77)))</f>
        <v>3.06204981267134-0.00149762781108739i</v>
      </c>
      <c r="V16" s="195">
        <f t="shared" si="3"/>
        <v>9.7202460671902919</v>
      </c>
      <c r="W16" s="195">
        <f t="shared" si="4"/>
        <v>-2.8022975217303448E-2</v>
      </c>
      <c r="X16" s="195" t="str">
        <f>IMPRODUCT(IMDIV(IMSUM(IMPRODUCT(M16,'Small Signal'!$B$58*'Small Signal'!$B$6*'Small Signal'!$B$51*'Small Signal'!$B$7*'Small Signal'!$B$8),'Small Signal'!$B$58*'Small Signal'!$B$6*'Small Signal'!$B$51),IMSUM(IMSUM(IMPRODUCT(M16,('Small Signal'!$B$5+'Small Signal'!$B$6)*('Small Signal'!$B$57*'Small Signal'!$B$58)+'Small Signal'!$B$5*'Small Signal'!$B$58*('Small Signal'!$B$8+'Small Signal'!$B$9)+'Small Signal'!$B$6*'Small Signal'!$B$58*('Small Signal'!$B$8+'Small Signal'!$B$9)+'Small Signal'!$B$7*'Small Signal'!$B$8*('Small Signal'!$B$5+'Small Signal'!$B$6)),'Small Signal'!$B$6+'Small Signal'!$B$5),IMPRODUCT(IMPOWER(M16,2),'Small Signal'!$B$57*'Small Signal'!$B$58*'Small Signal'!$B$8*'Small Signal'!$B$7*('Small Signal'!$B$5+'Small Signal'!$B$6)+('Small Signal'!$B$5+'Small Signal'!$B$6)*('Small Signal'!$B$9*'Small Signal'!$B$8*'Small Signal'!$B$58*'Small Signal'!$B$7)))),-1)</f>
        <v>-445.776319119418+11.6585604545123i</v>
      </c>
      <c r="Y16" s="195">
        <f t="shared" si="5"/>
        <v>52.98530943516495</v>
      </c>
      <c r="Z16" s="195">
        <f t="shared" si="6"/>
        <v>178.50251983343625</v>
      </c>
      <c r="AA16" s="195" t="str">
        <f t="shared" si="7"/>
        <v>1.00000000010589+0.0000114667846522931i</v>
      </c>
      <c r="AB16" s="195" t="str">
        <f t="shared" si="8"/>
        <v>-1276.56733183749+34.2487426205838i</v>
      </c>
      <c r="AC16" s="192">
        <f t="shared" si="24"/>
        <v>62.123999382330865</v>
      </c>
      <c r="AD16" s="195">
        <f t="shared" si="25"/>
        <v>178.46319285495977</v>
      </c>
      <c r="AE16" s="195" t="str">
        <f t="shared" si="9"/>
        <v>-1364.97183426856+36.3666998687943i</v>
      </c>
      <c r="AF16" s="192">
        <f t="shared" si="10"/>
        <v>62.705555500864456</v>
      </c>
      <c r="AG16" s="195">
        <f t="shared" si="11"/>
        <v>178.47383985985388</v>
      </c>
      <c r="AI16" s="195" t="str">
        <f t="shared" si="12"/>
        <v>0.002-271.721165849742i</v>
      </c>
      <c r="AJ16" s="195">
        <f t="shared" si="13"/>
        <v>0.22500000000000001</v>
      </c>
      <c r="AK16" s="195" t="str">
        <f t="shared" si="14"/>
        <v>0.0375-543442.331699483i</v>
      </c>
      <c r="AL16" s="195" t="str">
        <f t="shared" si="15"/>
        <v>0.22499984419764-0.000186405342981262i</v>
      </c>
      <c r="AM16" s="195" t="str">
        <f t="shared" si="16"/>
        <v>0.898502495834732-2.22988051411934E-06i</v>
      </c>
      <c r="AN16" s="195" t="str">
        <f t="shared" si="17"/>
        <v>0.006+0.0000253486145641288i</v>
      </c>
      <c r="AO16" s="195" t="str">
        <f t="shared" si="26"/>
        <v>2.86374533708565-0.00196563289437944i</v>
      </c>
      <c r="AP16" s="195">
        <f t="shared" si="27"/>
        <v>9.138689947165922</v>
      </c>
      <c r="AQ16" s="195">
        <f t="shared" si="28"/>
        <v>-3.9326978476455034E-2</v>
      </c>
      <c r="AS16" s="195" t="str">
        <f t="shared" si="18"/>
        <v>0.921951219506216-2.34778813250611E-06i</v>
      </c>
      <c r="AT16" s="195" t="str">
        <f t="shared" si="29"/>
        <v>2.87871923941082-0.00198426673116692i</v>
      </c>
      <c r="AU16" s="195">
        <f t="shared" si="30"/>
        <v>9.1839882701738063</v>
      </c>
      <c r="AV16" s="195">
        <f t="shared" si="31"/>
        <v>-3.949328908572293E-2</v>
      </c>
    </row>
    <row r="17" spans="1:48" x14ac:dyDescent="0.2">
      <c r="A17" s="117" t="s">
        <v>320</v>
      </c>
      <c r="B17" s="171">
        <f t="shared" si="32"/>
        <v>3.7500000000000006E-2</v>
      </c>
      <c r="C17" s="220">
        <f>ESR_2</f>
        <v>3.7500000000000006E-2</v>
      </c>
      <c r="D17" s="105" t="s">
        <v>109</v>
      </c>
      <c r="F17" s="195">
        <v>15</v>
      </c>
      <c r="G17" s="210">
        <f t="shared" si="0"/>
        <v>168.5796765114936</v>
      </c>
      <c r="H17" s="210">
        <f t="shared" si="1"/>
        <v>168.57881372500071</v>
      </c>
      <c r="I17" s="196">
        <f t="shared" si="2"/>
        <v>1</v>
      </c>
      <c r="J17" s="195">
        <f t="shared" si="19"/>
        <v>1</v>
      </c>
      <c r="K17" s="195">
        <f t="shared" si="20"/>
        <v>1</v>
      </c>
      <c r="L17" s="195">
        <f>10^('Small Signal'!F17/30)</f>
        <v>3.1622776601683795</v>
      </c>
      <c r="M17" s="195" t="str">
        <f t="shared" si="21"/>
        <v>19.8691765315922i</v>
      </c>
      <c r="N17" s="195">
        <f>IF(D$32=1, IF(AND('Small Signal'!$B$62&gt;=1,FCCM=0),V17+0,S17+0), 0)</f>
        <v>9.1386896275501464</v>
      </c>
      <c r="O17" s="195">
        <f>IF(D$32=1, IF(AND('Small Signal'!$B$62&gt;=1,FCCM=0),W17,T17), 0)</f>
        <v>-4.2464293559484952E-2</v>
      </c>
      <c r="P17" s="195">
        <f>IF(AND('Small Signal'!$B$62&gt;=1,FCCM=0),AF17+0,AC17+0)</f>
        <v>62.123492227986397</v>
      </c>
      <c r="Q17" s="195">
        <f>IF(AND('Small Signal'!$B$62&gt;=1,FCCM=0),AG17,AD17)</f>
        <v>178.34065768039304</v>
      </c>
      <c r="R17" s="195" t="str">
        <f>IMDIV(IMSUM('Small Signal'!$B$2*'Small Signal'!$B$39*'Small Signal'!$B$63,IMPRODUCT(M17,'Small Signal'!$B$2*'Small Signal'!$B$39*'Small Signal'!$B$63*'Small Signal'!$B$14*'Small Signal'!$B$15)),IMSUM(IMPRODUCT('Small Signal'!$B$12*'Small Signal'!$B$14*('Small Signal'!$B$15+'Small Signal'!$B$39),IMPOWER(M17,2)),IMSUM(IMPRODUCT(M17,('Small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2.61462053097985-0.00179929988318277i</v>
      </c>
      <c r="S17" s="195">
        <f t="shared" si="22"/>
        <v>9.1386896275501464</v>
      </c>
      <c r="T17" s="195">
        <f t="shared" si="23"/>
        <v>-4.2464293559484952E-2</v>
      </c>
      <c r="U17" s="195" t="str">
        <f>IMDIV(IMSUM('Small Signal'!$B$75,IMPRODUCT(M17,'Small Signal'!$B$76)),IMSUM(IMPRODUCT('Small Signal'!$B$79,IMPOWER(M17,2)),IMSUM(IMPRODUCT(M17,'Small Signal'!$B$78),'Small Signal'!$B$77)))</f>
        <v>3.06204971720125-0.00161710127637365i</v>
      </c>
      <c r="V17" s="195">
        <f t="shared" si="3"/>
        <v>9.7202459687433738</v>
      </c>
      <c r="W17" s="195">
        <f t="shared" si="4"/>
        <v>-3.0258512475244699E-2</v>
      </c>
      <c r="X17" s="195" t="str">
        <f>IMPRODUCT(IMDIV(IMSUM(IMPRODUCT(M17,'Small Signal'!$B$58*'Small Signal'!$B$6*'Small Signal'!$B$51*'Small Signal'!$B$7*'Small Signal'!$B$8),'Small Signal'!$B$58*'Small Signal'!$B$6*'Small Signal'!$B$51),IMSUM(IMSUM(IMPRODUCT(M17,('Small Signal'!$B$5+'Small Signal'!$B$6)*('Small Signal'!$B$57*'Small Signal'!$B$58)+'Small Signal'!$B$5*'Small Signal'!$B$58*('Small Signal'!$B$8+'Small Signal'!$B$9)+'Small Signal'!$B$6*'Small Signal'!$B$58*('Small Signal'!$B$8+'Small Signal'!$B$9)+'Small Signal'!$B$7*'Small Signal'!$B$8*('Small Signal'!$B$5+'Small Signal'!$B$6)),'Small Signal'!$B$6+'Small Signal'!$B$5),IMPRODUCT(IMPOWER(M17,2),'Small Signal'!$B$57*'Small Signal'!$B$58*'Small Signal'!$B$8*'Small Signal'!$B$7*('Small Signal'!$B$5+'Small Signal'!$B$6)+('Small Signal'!$B$5+'Small Signal'!$B$6)*('Small Signal'!$B$9*'Small Signal'!$B$8*'Small Signal'!$B$58*'Small Signal'!$B$7)))),-1)</f>
        <v>-445.725035106794+12.5871546511994i</v>
      </c>
      <c r="Y17" s="195">
        <f t="shared" si="5"/>
        <v>52.984802600436261</v>
      </c>
      <c r="Z17" s="195">
        <f t="shared" si="6"/>
        <v>178.38312197395254</v>
      </c>
      <c r="AA17" s="195" t="str">
        <f t="shared" si="7"/>
        <v>1.00000000012346+0.0000123815492591315i</v>
      </c>
      <c r="AB17" s="195" t="str">
        <f t="shared" si="8"/>
        <v>-1276.41663673528+36.9766239761939i</v>
      </c>
      <c r="AC17" s="192">
        <f t="shared" si="24"/>
        <v>62.123492227986397</v>
      </c>
      <c r="AD17" s="195">
        <f t="shared" si="25"/>
        <v>178.34065768039304</v>
      </c>
      <c r="AE17" s="195" t="str">
        <f t="shared" si="9"/>
        <v>-1364.81186299442+39.2632758632564i</v>
      </c>
      <c r="AF17" s="192">
        <f t="shared" si="10"/>
        <v>62.705048567441466</v>
      </c>
      <c r="AG17" s="195">
        <f t="shared" si="11"/>
        <v>178.35215405096099</v>
      </c>
      <c r="AI17" s="195" t="str">
        <f t="shared" si="12"/>
        <v>0.002-251.646060522435i</v>
      </c>
      <c r="AJ17" s="195">
        <f t="shared" si="13"/>
        <v>0.22500000000000001</v>
      </c>
      <c r="AK17" s="195" t="str">
        <f t="shared" si="14"/>
        <v>0.0375-503292.12104487i</v>
      </c>
      <c r="AL17" s="195" t="str">
        <f t="shared" si="15"/>
        <v>0.224999818347806-0.000201275836146773i</v>
      </c>
      <c r="AM17" s="195" t="str">
        <f t="shared" si="16"/>
        <v>0.898502495833813-2.40776959410215E-06i</v>
      </c>
      <c r="AN17" s="195" t="str">
        <f t="shared" si="17"/>
        <v>0.006+0.0000273708044057648i</v>
      </c>
      <c r="AO17" s="195" t="str">
        <f t="shared" si="26"/>
        <v>2.86374511978378-0.0021224414214339i</v>
      </c>
      <c r="AP17" s="195">
        <f t="shared" si="27"/>
        <v>9.1386896275501464</v>
      </c>
      <c r="AQ17" s="195">
        <f t="shared" si="28"/>
        <v>-4.2464293559484952E-2</v>
      </c>
      <c r="AS17" s="195" t="str">
        <f t="shared" si="18"/>
        <v>0.921951219505225-2.53508331188514E-06i</v>
      </c>
      <c r="AT17" s="195" t="str">
        <f t="shared" si="29"/>
        <v>2.87871901887332-0.00214256177238802i</v>
      </c>
      <c r="AU17" s="195">
        <f t="shared" si="30"/>
        <v>9.1839879471008157</v>
      </c>
      <c r="AV17" s="195">
        <f t="shared" si="31"/>
        <v>-4.2643871608037412E-2</v>
      </c>
    </row>
    <row r="18" spans="1:48" x14ac:dyDescent="0.2">
      <c r="A18" s="173"/>
      <c r="B18" s="172"/>
      <c r="C18" s="172"/>
      <c r="F18" s="195">
        <v>16</v>
      </c>
      <c r="G18" s="210">
        <f t="shared" si="0"/>
        <v>168.57974534042606</v>
      </c>
      <c r="H18" s="210">
        <f t="shared" si="1"/>
        <v>168.57881372500071</v>
      </c>
      <c r="I18" s="196">
        <f t="shared" si="2"/>
        <v>1</v>
      </c>
      <c r="J18" s="195">
        <f t="shared" si="19"/>
        <v>1</v>
      </c>
      <c r="K18" s="195">
        <f t="shared" si="20"/>
        <v>1</v>
      </c>
      <c r="L18" s="195">
        <f>10^('Small Signal'!F18/30)</f>
        <v>3.4145488738336023</v>
      </c>
      <c r="M18" s="195" t="str">
        <f t="shared" si="21"/>
        <v>21.4542433147179i</v>
      </c>
      <c r="N18" s="195">
        <f>IF(D$32=1, IF(AND('Small Signal'!$B$62&gt;=1,FCCM=0),V18+0,S18+0), 0)</f>
        <v>9.1386892549056871</v>
      </c>
      <c r="O18" s="195">
        <f>IF(D$32=1, IF(AND('Small Signal'!$B$62&gt;=1,FCCM=0),W18,T18), 0)</f>
        <v>-4.5851888201335143E-2</v>
      </c>
      <c r="P18" s="195">
        <f>IF(AND('Small Signal'!$B$62&gt;=1,FCCM=0),AF18+0,AC18+0)</f>
        <v>62.122901004139202</v>
      </c>
      <c r="Q18" s="195">
        <f>IF(AND('Small Signal'!$B$62&gt;=1,FCCM=0),AG18,AD18)</f>
        <v>178.20836376643359</v>
      </c>
      <c r="R18" s="195" t="str">
        <f>IMDIV(IMSUM('Small Signal'!$B$2*'Small Signal'!$B$39*'Small Signal'!$B$63,IMPRODUCT(M18,'Small Signal'!$B$2*'Small Signal'!$B$39*'Small Signal'!$B$63*'Small Signal'!$B$14*'Small Signal'!$B$15)),IMSUM(IMPRODUCT('Small Signal'!$B$12*'Small Signal'!$B$14*('Small Signal'!$B$15+'Small Signal'!$B$39),IMPOWER(M18,2)),IMSUM(IMPRODUCT(M18,('Small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2.61462033585976-0.00194283918620853i</v>
      </c>
      <c r="S18" s="195">
        <f t="shared" si="22"/>
        <v>9.1386892549056871</v>
      </c>
      <c r="T18" s="195">
        <f t="shared" si="23"/>
        <v>-4.5851888201335143E-2</v>
      </c>
      <c r="U18" s="195" t="str">
        <f>IMDIV(IMSUM('Small Signal'!$B$75,IMPRODUCT(M18,'Small Signal'!$B$76)),IMSUM(IMPRODUCT('Small Signal'!$B$79,IMPOWER(M18,2)),IMSUM(IMPRODUCT(M18,'Small Signal'!$B$78),'Small Signal'!$B$77)))</f>
        <v>3.06204960589131-0.00174610574730922i</v>
      </c>
      <c r="V18" s="195">
        <f t="shared" si="3"/>
        <v>9.7202458539627159</v>
      </c>
      <c r="W18" s="195">
        <f t="shared" si="4"/>
        <v>-3.2672390044856739E-2</v>
      </c>
      <c r="X18" s="195" t="str">
        <f>IMPRODUCT(IMDIV(IMSUM(IMPRODUCT(M18,'Small Signal'!$B$58*'Small Signal'!$B$6*'Small Signal'!$B$51*'Small Signal'!$B$7*'Small Signal'!$B$8),'Small Signal'!$B$58*'Small Signal'!$B$6*'Small Signal'!$B$51),IMSUM(IMSUM(IMPRODUCT(M18,('Small Signal'!$B$5+'Small Signal'!$B$6)*('Small Signal'!$B$57*'Small Signal'!$B$58)+'Small Signal'!$B$5*'Small Signal'!$B$58*('Small Signal'!$B$8+'Small Signal'!$B$9)+'Small Signal'!$B$6*'Small Signal'!$B$58*('Small Signal'!$B$8+'Small Signal'!$B$9)+'Small Signal'!$B$7*'Small Signal'!$B$8*('Small Signal'!$B$5+'Small Signal'!$B$6)),'Small Signal'!$B$6+'Small Signal'!$B$5),IMPRODUCT(IMPOWER(M18,2),'Small Signal'!$B$57*'Small Signal'!$B$58*'Small Signal'!$B$8*'Small Signal'!$B$7*('Small Signal'!$B$5+'Small Signal'!$B$6)+('Small Signal'!$B$5+'Small Signal'!$B$6)*('Small Signal'!$B$9*'Small Signal'!$B$8*'Small Signal'!$B$58*'Small Signal'!$B$7)))),-1)</f>
        <v>-445.665257452011+13.5894476146205i</v>
      </c>
      <c r="Y18" s="195">
        <f t="shared" si="5"/>
        <v>52.984211749233523</v>
      </c>
      <c r="Z18" s="195">
        <f t="shared" si="6"/>
        <v>178.25421565463492</v>
      </c>
      <c r="AA18" s="195" t="str">
        <f t="shared" si="7"/>
        <v>1.00000000014394+0.0000133692893609267i</v>
      </c>
      <c r="AB18" s="195" t="str">
        <f t="shared" si="8"/>
        <v>-1276.24098355761+39.921005935349i</v>
      </c>
      <c r="AC18" s="192">
        <f t="shared" si="24"/>
        <v>62.122901004139202</v>
      </c>
      <c r="AD18" s="195">
        <f t="shared" si="25"/>
        <v>178.20836376643359</v>
      </c>
      <c r="AE18" s="195" t="str">
        <f t="shared" si="9"/>
        <v>-1364.6253973278+42.3897413800423i</v>
      </c>
      <c r="AF18" s="192">
        <f t="shared" si="10"/>
        <v>62.704457601169771</v>
      </c>
      <c r="AG18" s="195">
        <f t="shared" si="11"/>
        <v>178.22077726073476</v>
      </c>
      <c r="AI18" s="195" t="str">
        <f t="shared" si="12"/>
        <v>0.002-233.054129509659i</v>
      </c>
      <c r="AJ18" s="195">
        <f t="shared" si="13"/>
        <v>0.22500000000000001</v>
      </c>
      <c r="AK18" s="195" t="str">
        <f t="shared" si="14"/>
        <v>0.0375-466108.259019318i</v>
      </c>
      <c r="AL18" s="195" t="str">
        <f t="shared" si="15"/>
        <v>0.22499978820912-0.000217332619277842i</v>
      </c>
      <c r="AM18" s="195" t="str">
        <f t="shared" si="16"/>
        <v>0.898502495832745-2.59984980431628E-06i</v>
      </c>
      <c r="AN18" s="195" t="str">
        <f t="shared" si="17"/>
        <v>0.006+0.0000295543147702747i</v>
      </c>
      <c r="AO18" s="195" t="str">
        <f t="shared" si="26"/>
        <v>2.86374486642849-0.00229175933375179i</v>
      </c>
      <c r="AP18" s="195">
        <f t="shared" si="27"/>
        <v>9.1386892549056871</v>
      </c>
      <c r="AQ18" s="195">
        <f t="shared" si="28"/>
        <v>-4.5851888201335143E-2</v>
      </c>
      <c r="AS18" s="195" t="str">
        <f t="shared" si="18"/>
        <v>0.921951219504069-2.73731999460161E-06i</v>
      </c>
      <c r="AT18" s="195" t="str">
        <f t="shared" si="29"/>
        <v>2.87871876174551-0.00231348478495604i</v>
      </c>
      <c r="AU18" s="195">
        <f t="shared" si="30"/>
        <v>9.1839875704253782</v>
      </c>
      <c r="AV18" s="195">
        <f t="shared" si="31"/>
        <v>-4.6045792097005371E-2</v>
      </c>
    </row>
    <row r="19" spans="1:48" x14ac:dyDescent="0.2">
      <c r="A19" s="173" t="s">
        <v>251</v>
      </c>
      <c r="B19" s="172"/>
      <c r="C19" s="174">
        <f>VLOOKUP(0,J2:P212,3,FALSE)</f>
        <v>79432.823472428237</v>
      </c>
      <c r="D19" s="172" t="s">
        <v>237</v>
      </c>
      <c r="F19" s="195">
        <v>17</v>
      </c>
      <c r="G19" s="210">
        <f t="shared" si="0"/>
        <v>168.57981966019776</v>
      </c>
      <c r="H19" s="210">
        <f t="shared" si="1"/>
        <v>168.57881372500071</v>
      </c>
      <c r="I19" s="196">
        <f t="shared" si="2"/>
        <v>1</v>
      </c>
      <c r="J19" s="195">
        <f t="shared" si="19"/>
        <v>1</v>
      </c>
      <c r="K19" s="195">
        <f t="shared" si="20"/>
        <v>1</v>
      </c>
      <c r="L19" s="195">
        <f>10^('Small Signal'!F19/30)</f>
        <v>3.6869450645195756</v>
      </c>
      <c r="M19" s="195" t="str">
        <f t="shared" si="21"/>
        <v>23.1657590577677i</v>
      </c>
      <c r="N19" s="195">
        <f>IF(D$32=1, IF(AND('Small Signal'!$B$62&gt;=1,FCCM=0),V19+0,S19+0), 0)</f>
        <v>9.1386888204340249</v>
      </c>
      <c r="O19" s="195">
        <f>IF(D$32=1, IF(AND('Small Signal'!$B$62&gt;=1,FCCM=0),W19,T19), 0)</f>
        <v>-4.9509728426807967E-2</v>
      </c>
      <c r="P19" s="195">
        <f>IF(AND('Small Signal'!$B$62&gt;=1,FCCM=0),AF19+0,AC19+0)</f>
        <v>62.122211789266515</v>
      </c>
      <c r="Q19" s="195">
        <f>IF(AND('Small Signal'!$B$62&gt;=1,FCCM=0),AG19,AD19)</f>
        <v>178.06553688085896</v>
      </c>
      <c r="R19" s="195" t="str">
        <f>IMDIV(IMSUM('Small Signal'!$B$2*'Small Signal'!$B$39*'Small Signal'!$B$63,IMPRODUCT(M19,'Small Signal'!$B$2*'Small Signal'!$B$39*'Small Signal'!$B$63*'Small Signal'!$B$14*'Small Signal'!$B$15)),IMSUM(IMPRODUCT('Small Signal'!$B$12*'Small Signal'!$B$14*('Small Signal'!$B$15+'Small Signal'!$B$39),IMPOWER(M19,2)),IMSUM(IMPRODUCT(M19,('Small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2.61462010836648-0.0020978293249009i</v>
      </c>
      <c r="S19" s="195">
        <f t="shared" si="22"/>
        <v>9.1386888204340249</v>
      </c>
      <c r="T19" s="195">
        <f t="shared" si="23"/>
        <v>-4.9509728426807967E-2</v>
      </c>
      <c r="U19" s="195" t="str">
        <f>IMDIV(IMSUM('Small Signal'!$B$75,IMPRODUCT(M19,'Small Signal'!$B$76)),IMSUM(IMPRODUCT('Small Signal'!$B$79,IMPOWER(M19,2)),IMSUM(IMPRODUCT(M19,'Small Signal'!$B$78),'Small Signal'!$B$77)))</f>
        <v>3.06204947611345-0.00188540155897323i</v>
      </c>
      <c r="V19" s="195">
        <f t="shared" si="3"/>
        <v>9.7202457201382835</v>
      </c>
      <c r="W19" s="195">
        <f t="shared" si="4"/>
        <v>-3.5278835044138708E-2</v>
      </c>
      <c r="X19" s="195" t="str">
        <f>IMPRODUCT(IMDIV(IMSUM(IMPRODUCT(M19,'Small Signal'!$B$58*'Small Signal'!$B$6*'Small Signal'!$B$51*'Small Signal'!$B$7*'Small Signal'!$B$8),'Small Signal'!$B$58*'Small Signal'!$B$6*'Small Signal'!$B$51),IMSUM(IMSUM(IMPRODUCT(M19,('Small Signal'!$B$5+'Small Signal'!$B$6)*('Small Signal'!$B$57*'Small Signal'!$B$58)+'Small Signal'!$B$5*'Small Signal'!$B$58*('Small Signal'!$B$8+'Small Signal'!$B$9)+'Small Signal'!$B$6*'Small Signal'!$B$58*('Small Signal'!$B$8+'Small Signal'!$B$9)+'Small Signal'!$B$7*'Small Signal'!$B$8*('Small Signal'!$B$5+'Small Signal'!$B$6)),'Small Signal'!$B$6+'Small Signal'!$B$5),IMPRODUCT(IMPOWER(M19,2),'Small Signal'!$B$57*'Small Signal'!$B$58*'Small Signal'!$B$8*'Small Signal'!$B$7*('Small Signal'!$B$5+'Small Signal'!$B$6)+('Small Signal'!$B$5+'Small Signal'!$B$6)*('Small Signal'!$B$9*'Small Signal'!$B$8*'Small Signal'!$B$58*'Small Signal'!$B$7)))),-1)</f>
        <v>-445.595582360417+14.6712205062663i</v>
      </c>
      <c r="Y19" s="195">
        <f t="shared" si="5"/>
        <v>52.983522968832489</v>
      </c>
      <c r="Z19" s="195">
        <f t="shared" si="6"/>
        <v>178.11504660928577</v>
      </c>
      <c r="AA19" s="195" t="str">
        <f t="shared" si="7"/>
        <v>1.00000000016783+0.0000144358265896232i</v>
      </c>
      <c r="AB19" s="195" t="str">
        <f t="shared" si="8"/>
        <v>-1276.0362473353+43.09887140127i</v>
      </c>
      <c r="AC19" s="192">
        <f t="shared" si="24"/>
        <v>62.122211789266515</v>
      </c>
      <c r="AD19" s="195">
        <f t="shared" si="25"/>
        <v>178.06553688085896</v>
      </c>
      <c r="AE19" s="195" t="str">
        <f t="shared" si="9"/>
        <v>-1364.40805838317+45.7641296708115i</v>
      </c>
      <c r="AF19" s="192">
        <f t="shared" si="10"/>
        <v>62.703768686607987</v>
      </c>
      <c r="AG19" s="195">
        <f t="shared" si="11"/>
        <v>178.07894066230446</v>
      </c>
      <c r="AI19" s="195" t="str">
        <f t="shared" si="12"/>
        <v>0.002-215.835794006648i</v>
      </c>
      <c r="AJ19" s="195">
        <f t="shared" si="13"/>
        <v>0.22500000000000001</v>
      </c>
      <c r="AK19" s="195" t="str">
        <f t="shared" si="14"/>
        <v>0.0375-431671.588013297i</v>
      </c>
      <c r="AL19" s="195" t="str">
        <f t="shared" si="15"/>
        <v>0.224999753070002-0.000234670327284978i</v>
      </c>
      <c r="AM19" s="195" t="str">
        <f t="shared" si="16"/>
        <v>0.898502495831496-2.80725324447937E-06i</v>
      </c>
      <c r="AN19" s="195" t="str">
        <f t="shared" si="17"/>
        <v>0.006+0.0000319120150285575i</v>
      </c>
      <c r="AO19" s="195" t="str">
        <f t="shared" si="26"/>
        <v>2.86374457103791-0.00247458455910305i</v>
      </c>
      <c r="AP19" s="195">
        <f t="shared" si="27"/>
        <v>9.1386888204340249</v>
      </c>
      <c r="AQ19" s="195">
        <f t="shared" si="28"/>
        <v>-4.9509728426807967E-2</v>
      </c>
      <c r="AS19" s="195" t="str">
        <f t="shared" si="18"/>
        <v>0.92195121950272-0.0000029556901415095i</v>
      </c>
      <c r="AT19" s="195" t="str">
        <f t="shared" si="29"/>
        <v>2.87871846195654-0.00249804315665133i</v>
      </c>
      <c r="AU19" s="195">
        <f t="shared" si="30"/>
        <v>9.1839871312540762</v>
      </c>
      <c r="AV19" s="195">
        <f t="shared" si="31"/>
        <v>-4.971910101097525E-2</v>
      </c>
    </row>
    <row r="20" spans="1:48" x14ac:dyDescent="0.2">
      <c r="A20" s="173" t="s">
        <v>252</v>
      </c>
      <c r="B20" s="172"/>
      <c r="C20" s="175">
        <f>VLOOKUP(0,J2:Q212,8,FALSE)</f>
        <v>60.439446300549925</v>
      </c>
      <c r="D20" s="172" t="s">
        <v>254</v>
      </c>
      <c r="F20" s="195">
        <v>18</v>
      </c>
      <c r="G20" s="210">
        <f t="shared" si="0"/>
        <v>168.5798999088413</v>
      </c>
      <c r="H20" s="210">
        <f t="shared" si="1"/>
        <v>168.57881372500071</v>
      </c>
      <c r="I20" s="196">
        <f t="shared" si="2"/>
        <v>1</v>
      </c>
      <c r="J20" s="195">
        <f t="shared" si="19"/>
        <v>1</v>
      </c>
      <c r="K20" s="195">
        <f t="shared" si="20"/>
        <v>1</v>
      </c>
      <c r="L20" s="195">
        <f>10^('Small Signal'!F20/30)</f>
        <v>3.9810717055349727</v>
      </c>
      <c r="M20" s="195" t="str">
        <f t="shared" si="21"/>
        <v>25.0138112470457i</v>
      </c>
      <c r="N20" s="195">
        <f>IF(D$32=1, IF(AND('Small Signal'!$B$62&gt;=1,FCCM=0),V20+0,S20+0), 0)</f>
        <v>9.1386883138773598</v>
      </c>
      <c r="O20" s="195">
        <f>IF(D$32=1, IF(AND('Small Signal'!$B$62&gt;=1,FCCM=0),W20,T20), 0)</f>
        <v>-5.3459373036060874E-2</v>
      </c>
      <c r="P20" s="195">
        <f>IF(AND('Small Signal'!$B$62&gt;=1,FCCM=0),AF20+0,AC20+0)</f>
        <v>62.121408361685504</v>
      </c>
      <c r="Q20" s="195">
        <f>IF(AND('Small Signal'!$B$62&gt;=1,FCCM=0),AG20,AD20)</f>
        <v>177.91134213061852</v>
      </c>
      <c r="R20" s="195" t="str">
        <f>IMDIV(IMSUM('Small Signal'!$B$2*'Small Signal'!$B$39*'Small Signal'!$B$63,IMPRODUCT(M20,'Small Signal'!$B$2*'Small Signal'!$B$39*'Small Signal'!$B$63*'Small Signal'!$B$14*'Small Signal'!$B$15)),IMSUM(IMPRODUCT('Small Signal'!$B$12*'Small Signal'!$B$14*('Small Signal'!$B$15+'Small Signal'!$B$39),IMPOWER(M20,2)),IMSUM(IMPRODUCT(M20,('Small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2.61461984312883-0.00226518378233368i</v>
      </c>
      <c r="S20" s="195">
        <f t="shared" si="22"/>
        <v>9.1386883138773598</v>
      </c>
      <c r="T20" s="195">
        <f t="shared" si="23"/>
        <v>-5.3459373036060874E-2</v>
      </c>
      <c r="U20" s="195" t="str">
        <f>IMDIV(IMSUM('Small Signal'!$B$75,IMPRODUCT(M20,'Small Signal'!$B$76)),IMSUM(IMPRODUCT('Small Signal'!$B$79,IMPOWER(M20,2)),IMSUM(IMPRODUCT(M20,'Small Signal'!$B$78),'Small Signal'!$B$77)))</f>
        <v>3.06204932480358-0.00203580970166646i</v>
      </c>
      <c r="V20" s="195">
        <f t="shared" si="3"/>
        <v>9.7202455641104457</v>
      </c>
      <c r="W20" s="195">
        <f t="shared" si="4"/>
        <v>-3.8093209559326185E-2</v>
      </c>
      <c r="X20" s="195" t="str">
        <f>IMPRODUCT(IMDIV(IMSUM(IMPRODUCT(M20,'Small Signal'!$B$58*'Small Signal'!$B$6*'Small Signal'!$B$51*'Small Signal'!$B$7*'Small Signal'!$B$8),'Small Signal'!$B$58*'Small Signal'!$B$6*'Small Signal'!$B$51),IMSUM(IMSUM(IMPRODUCT(M20,('Small Signal'!$B$5+'Small Signal'!$B$6)*('Small Signal'!$B$57*'Small Signal'!$B$58)+'Small Signal'!$B$5*'Small Signal'!$B$58*('Small Signal'!$B$8+'Small Signal'!$B$9)+'Small Signal'!$B$6*'Small Signal'!$B$58*('Small Signal'!$B$8+'Small Signal'!$B$9)+'Small Signal'!$B$7*'Small Signal'!$B$8*('Small Signal'!$B$5+'Small Signal'!$B$6)),'Small Signal'!$B$6+'Small Signal'!$B$5),IMPRODUCT(IMPOWER(M20,2),'Small Signal'!$B$57*'Small Signal'!$B$58*'Small Signal'!$B$8*'Small Signal'!$B$7*('Small Signal'!$B$5+'Small Signal'!$B$6)+('Small Signal'!$B$5+'Small Signal'!$B$6)*('Small Signal'!$B$9*'Small Signal'!$B$8*'Small Signal'!$B$58*'Small Signal'!$B$7)))),-1)</f>
        <v>-445.514375071417+15.8386903641138i</v>
      </c>
      <c r="Y20" s="195">
        <f t="shared" si="5"/>
        <v>52.982720047808129</v>
      </c>
      <c r="Z20" s="195">
        <f t="shared" si="6"/>
        <v>177.96480150365457</v>
      </c>
      <c r="AA20" s="195" t="str">
        <f t="shared" si="7"/>
        <v>1.00000000019567+0.0000155874469987954i</v>
      </c>
      <c r="AB20" s="195" t="str">
        <f t="shared" si="8"/>
        <v>-1275.7976244192+46.528483699152i</v>
      </c>
      <c r="AC20" s="192">
        <f t="shared" si="24"/>
        <v>62.121408361685504</v>
      </c>
      <c r="AD20" s="195">
        <f t="shared" si="25"/>
        <v>177.91134213061852</v>
      </c>
      <c r="AE20" s="195" t="str">
        <f t="shared" si="9"/>
        <v>-1364.15474681822+49.4058336222099i</v>
      </c>
      <c r="AF20" s="192">
        <f t="shared" si="10"/>
        <v>62.70296560916384</v>
      </c>
      <c r="AG20" s="195">
        <f t="shared" si="11"/>
        <v>177.92581519916911</v>
      </c>
      <c r="AI20" s="195" t="str">
        <f t="shared" si="12"/>
        <v>0.002-199.889571030106i</v>
      </c>
      <c r="AJ20" s="195">
        <f t="shared" si="13"/>
        <v>0.22500000000000001</v>
      </c>
      <c r="AK20" s="195" t="str">
        <f t="shared" si="14"/>
        <v>0.0375-399779.142060212i</v>
      </c>
      <c r="AL20" s="195" t="str">
        <f t="shared" si="15"/>
        <v>0.224999712100811-0.000253391144189056i</v>
      </c>
      <c r="AM20" s="195" t="str">
        <f t="shared" si="16"/>
        <v>0.89850249583004-3.03120232774779E-06i</v>
      </c>
      <c r="AN20" s="195" t="str">
        <f t="shared" si="17"/>
        <v>0.006+0.000034457801207665i</v>
      </c>
      <c r="AO20" s="195" t="str">
        <f t="shared" si="26"/>
        <v>2.86374422663787-0.00267199463239647i</v>
      </c>
      <c r="AP20" s="195">
        <f t="shared" si="27"/>
        <v>9.1386883138773598</v>
      </c>
      <c r="AQ20" s="195">
        <f t="shared" si="28"/>
        <v>-5.3459373036060874E-2</v>
      </c>
      <c r="AS20" s="195" t="str">
        <f t="shared" si="18"/>
        <v>0.921951219501146-0.0000031914808023334i</v>
      </c>
      <c r="AT20" s="195" t="str">
        <f t="shared" si="29"/>
        <v>2.87871811242831-0.00269732463701148i</v>
      </c>
      <c r="AU20" s="195">
        <f t="shared" si="30"/>
        <v>9.1839866192178974</v>
      </c>
      <c r="AV20" s="195">
        <f t="shared" si="31"/>
        <v>-5.3685448319062939E-2</v>
      </c>
    </row>
    <row r="21" spans="1:48" x14ac:dyDescent="0.2">
      <c r="A21" s="173" t="s">
        <v>253</v>
      </c>
      <c r="B21" s="172"/>
      <c r="C21" s="175">
        <f>VLOOKUP(0,K2:Q212,6,FALSE)</f>
        <v>-24.050959077313181</v>
      </c>
      <c r="D21" s="172" t="s">
        <v>255</v>
      </c>
      <c r="F21" s="195">
        <v>19</v>
      </c>
      <c r="G21" s="210">
        <f t="shared" si="0"/>
        <v>168.57998655933335</v>
      </c>
      <c r="H21" s="210">
        <f t="shared" si="1"/>
        <v>168.57881372500071</v>
      </c>
      <c r="I21" s="196">
        <f t="shared" si="2"/>
        <v>1</v>
      </c>
      <c r="J21" s="195">
        <f t="shared" si="19"/>
        <v>1</v>
      </c>
      <c r="K21" s="195">
        <f t="shared" si="20"/>
        <v>1</v>
      </c>
      <c r="L21" s="195">
        <f>10^('Small Signal'!F21/30)</f>
        <v>4.2986623470822769</v>
      </c>
      <c r="M21" s="195" t="str">
        <f t="shared" si="21"/>
        <v>27.0092920997135i</v>
      </c>
      <c r="N21" s="195">
        <f>IF(D$32=1, IF(AND('Small Signal'!$B$62&gt;=1,FCCM=0),V21+0,S21+0), 0)</f>
        <v>9.1386877232758046</v>
      </c>
      <c r="O21" s="195">
        <f>IF(D$32=1, IF(AND('Small Signal'!$B$62&gt;=1,FCCM=0),W21,T21), 0)</f>
        <v>-5.7724100663990648E-2</v>
      </c>
      <c r="P21" s="195">
        <f>IF(AND('Small Signal'!$B$62&gt;=1,FCCM=0),AF21+0,AC21+0)</f>
        <v>62.1204718213719</v>
      </c>
      <c r="Q21" s="195">
        <f>IF(AND('Small Signal'!$B$62&gt;=1,FCCM=0),AG21,AD21)</f>
        <v>177.74487940713223</v>
      </c>
      <c r="R21" s="195" t="str">
        <f>IMDIV(IMSUM('Small Signal'!$B$2*'Small Signal'!$B$39*'Small Signal'!$B$63,IMPRODUCT(M21,'Small Signal'!$B$2*'Small Signal'!$B$39*'Small Signal'!$B$63*'Small Signal'!$B$14*'Small Signal'!$B$15)),IMSUM(IMPRODUCT('Small Signal'!$B$12*'Small Signal'!$B$14*('Small Signal'!$B$15+'Small Signal'!$B$39),IMPOWER(M21,2)),IMSUM(IMPRODUCT(M21,('Small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2.6146195338845-0.00244588891245899i</v>
      </c>
      <c r="S21" s="195">
        <f t="shared" si="22"/>
        <v>9.1386877232758046</v>
      </c>
      <c r="T21" s="195">
        <f t="shared" si="23"/>
        <v>-5.7724100663990648E-2</v>
      </c>
      <c r="U21" s="195" t="str">
        <f>IMDIV(IMSUM('Small Signal'!$B$75,IMPRODUCT(M21,'Small Signal'!$B$76)),IMSUM(IMPRODUCT('Small Signal'!$B$79,IMPOWER(M21,2)),IMSUM(IMPRODUCT(M21,'Small Signal'!$B$78),'Small Signal'!$B$77)))</f>
        <v>3.06204914838924-0.00219821665952767i</v>
      </c>
      <c r="V21" s="195">
        <f t="shared" si="3"/>
        <v>9.7202453821953601</v>
      </c>
      <c r="W21" s="195">
        <f t="shared" si="4"/>
        <v>-4.1132101186542258E-2</v>
      </c>
      <c r="X21" s="195" t="str">
        <f>IMPRODUCT(IMDIV(IMSUM(IMPRODUCT(M21,'Small Signal'!$B$58*'Small Signal'!$B$6*'Small Signal'!$B$51*'Small Signal'!$B$7*'Small Signal'!$B$8),'Small Signal'!$B$58*'Small Signal'!$B$6*'Small Signal'!$B$51),IMSUM(IMSUM(IMPRODUCT(M21,('Small Signal'!$B$5+'Small Signal'!$B$6)*('Small Signal'!$B$57*'Small Signal'!$B$58)+'Small Signal'!$B$5*'Small Signal'!$B$58*('Small Signal'!$B$8+'Small Signal'!$B$9)+'Small Signal'!$B$6*'Small Signal'!$B$58*('Small Signal'!$B$8+'Small Signal'!$B$9)+'Small Signal'!$B$7*'Small Signal'!$B$8*('Small Signal'!$B$5+'Small Signal'!$B$6)),'Small Signal'!$B$6+'Small Signal'!$B$5),IMPRODUCT(IMPOWER(M21,2),'Small Signal'!$B$57*'Small Signal'!$B$58*'Small Signal'!$B$8*'Small Signal'!$B$7*('Small Signal'!$B$5+'Small Signal'!$B$6)+('Small Signal'!$B$5+'Small Signal'!$B$6)*('Small Signal'!$B$9*'Small Signal'!$B$8*'Small Signal'!$B$58*'Small Signal'!$B$7)))),-1)</f>
        <v>-445.419732233556+17.0985383672011i</v>
      </c>
      <c r="Y21" s="195">
        <f t="shared" si="5"/>
        <v>52.981784098096121</v>
      </c>
      <c r="Z21" s="195">
        <f t="shared" si="6"/>
        <v>177.80260350779622</v>
      </c>
      <c r="AA21" s="195" t="str">
        <f t="shared" si="7"/>
        <v>1.00000000022814+0.0000168309381129589i</v>
      </c>
      <c r="AB21" s="195" t="str">
        <f t="shared" si="8"/>
        <v>-1275.51952192159+50.2294695998721i</v>
      </c>
      <c r="AC21" s="192">
        <f t="shared" si="24"/>
        <v>62.1204718213719</v>
      </c>
      <c r="AD21" s="195">
        <f t="shared" si="25"/>
        <v>177.74487940713223</v>
      </c>
      <c r="AE21" s="195" t="str">
        <f t="shared" si="9"/>
        <v>-1363.85952546963+53.335693921867i</v>
      </c>
      <c r="AF21" s="192">
        <f t="shared" si="10"/>
        <v>62.702029477079591</v>
      </c>
      <c r="AG21" s="195">
        <f t="shared" si="11"/>
        <v>177.76050706489087</v>
      </c>
      <c r="AI21" s="195" t="str">
        <f t="shared" si="12"/>
        <v>0.002-185.121475288611i</v>
      </c>
      <c r="AJ21" s="195">
        <f t="shared" si="13"/>
        <v>0.22500000000000001</v>
      </c>
      <c r="AK21" s="195" t="str">
        <f t="shared" si="14"/>
        <v>0.0375-370242.950577223i</v>
      </c>
      <c r="AL21" s="195" t="str">
        <f t="shared" si="15"/>
        <v>0.224999664334262-0.000273605405247982i</v>
      </c>
      <c r="AM21" s="195" t="str">
        <f t="shared" si="16"/>
        <v>0.898502495828343-3.27301698548582E-06i</v>
      </c>
      <c r="AN21" s="195" t="str">
        <f t="shared" si="17"/>
        <v>0.006+0.0000372066778924625i</v>
      </c>
      <c r="AO21" s="195" t="str">
        <f t="shared" si="26"/>
        <v>2.86374382509703-0.00288515304565031i</v>
      </c>
      <c r="AP21" s="195">
        <f t="shared" si="27"/>
        <v>9.1386877232758046</v>
      </c>
      <c r="AQ21" s="195">
        <f t="shared" si="28"/>
        <v>-5.7724100663990648E-2</v>
      </c>
      <c r="AS21" s="195" t="str">
        <f t="shared" si="18"/>
        <v>0.921951219499315-3.44608170139846E-06i</v>
      </c>
      <c r="AT21" s="195" t="str">
        <f t="shared" si="29"/>
        <v>2.87871770490847-0.00291250374748763i</v>
      </c>
      <c r="AU21" s="195">
        <f t="shared" si="30"/>
        <v>9.1839860222277778</v>
      </c>
      <c r="AV21" s="195">
        <f t="shared" si="31"/>
        <v>-5.796821109777895E-2</v>
      </c>
    </row>
    <row r="22" spans="1:48" x14ac:dyDescent="0.2">
      <c r="A22" s="173"/>
      <c r="B22" s="172"/>
      <c r="C22" s="172"/>
      <c r="F22" s="195">
        <v>20</v>
      </c>
      <c r="G22" s="210">
        <f t="shared" si="0"/>
        <v>168.58008012238247</v>
      </c>
      <c r="H22" s="210">
        <f t="shared" si="1"/>
        <v>168.57881372500071</v>
      </c>
      <c r="I22" s="196">
        <f t="shared" si="2"/>
        <v>1</v>
      </c>
      <c r="J22" s="195">
        <f t="shared" si="19"/>
        <v>1</v>
      </c>
      <c r="K22" s="195">
        <f t="shared" si="20"/>
        <v>1</v>
      </c>
      <c r="L22" s="195">
        <f>10^('Small Signal'!F22/30)</f>
        <v>4.6415888336127793</v>
      </c>
      <c r="M22" s="195" t="str">
        <f t="shared" si="21"/>
        <v>29.1639627613246i</v>
      </c>
      <c r="N22" s="195">
        <f>IF(D$32=1, IF(AND('Small Signal'!$B$62&gt;=1,FCCM=0),V22+0,S22+0), 0)</f>
        <v>9.1386870346848621</v>
      </c>
      <c r="O22" s="195">
        <f>IF(D$32=1, IF(AND('Small Signal'!$B$62&gt;=1,FCCM=0),W22,T22), 0)</f>
        <v>-6.2329046974615387E-2</v>
      </c>
      <c r="P22" s="195">
        <f>IF(AND('Small Signal'!$B$62&gt;=1,FCCM=0),AF22+0,AC22+0)</f>
        <v>62.119380150264988</v>
      </c>
      <c r="Q22" s="195">
        <f>IF(AND('Small Signal'!$B$62&gt;=1,FCCM=0),AG22,AD22)</f>
        <v>177.56517854132895</v>
      </c>
      <c r="R22" s="195" t="str">
        <f>IMDIV(IMSUM('Small Signal'!$B$2*'Small Signal'!$B$39*'Small Signal'!$B$63,IMPRODUCT(M22,'Small Signal'!$B$2*'Small Signal'!$B$39*'Small Signal'!$B$63*'Small Signal'!$B$14*'Small Signal'!$B$15)),IMSUM(IMPRODUCT('Small Signal'!$B$12*'Small Signal'!$B$14*('Small Signal'!$B$15+'Small Signal'!$B$39),IMPOWER(M22,2)),IMSUM(IMPRODUCT(M22,('Small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2.61461917333218-0.00264100975277657i</v>
      </c>
      <c r="S22" s="195">
        <f t="shared" si="22"/>
        <v>9.1386870346848621</v>
      </c>
      <c r="T22" s="195">
        <f t="shared" si="23"/>
        <v>-6.2329046974615387E-2</v>
      </c>
      <c r="U22" s="195" t="str">
        <f>IMDIV(IMSUM('Small Signal'!$B$75,IMPRODUCT(M22,'Small Signal'!$B$76)),IMSUM(IMPRODUCT('Small Signal'!$B$79,IMPOWER(M22,2)),IMSUM(IMPRODUCT(M22,'Small Signal'!$B$78),'Small Signal'!$B$77)))</f>
        <v>3.06204894270523-0.00237357963510881i</v>
      </c>
      <c r="V22" s="195">
        <f t="shared" si="3"/>
        <v>9.7202451700979307</v>
      </c>
      <c r="W22" s="195">
        <f t="shared" si="4"/>
        <v>-4.4413420796260095E-2</v>
      </c>
      <c r="X22" s="195" t="str">
        <f>IMPRODUCT(IMDIV(IMSUM(IMPRODUCT(M22,'Small Signal'!$B$58*'Small Signal'!$B$6*'Small Signal'!$B$51*'Small Signal'!$B$7*'Small Signal'!$B$8),'Small Signal'!$B$58*'Small Signal'!$B$6*'Small Signal'!$B$51),IMSUM(IMSUM(IMPRODUCT(M22,('Small Signal'!$B$5+'Small Signal'!$B$6)*('Small Signal'!$B$57*'Small Signal'!$B$58)+'Small Signal'!$B$5*'Small Signal'!$B$58*('Small Signal'!$B$8+'Small Signal'!$B$9)+'Small Signal'!$B$6*'Small Signal'!$B$58*('Small Signal'!$B$8+'Small Signal'!$B$9)+'Small Signal'!$B$7*'Small Signal'!$B$8*('Small Signal'!$B$5+'Small Signal'!$B$6)),'Small Signal'!$B$6+'Small Signal'!$B$5),IMPRODUCT(IMPOWER(M22,2),'Small Signal'!$B$57*'Small Signal'!$B$58*'Small Signal'!$B$8*'Small Signal'!$B$7*('Small Signal'!$B$5+'Small Signal'!$B$6)+('Small Signal'!$B$5+'Small Signal'!$B$6)*('Small Signal'!$B$9*'Small Signal'!$B$8*'Small Signal'!$B$58*'Small Signal'!$B$7)))),-1)</f>
        <v>-445.309438285363+18.4579386921932i</v>
      </c>
      <c r="Y22" s="195">
        <f t="shared" si="5"/>
        <v>52.980693115580138</v>
      </c>
      <c r="Z22" s="195">
        <f t="shared" si="6"/>
        <v>177.62750758830356</v>
      </c>
      <c r="AA22" s="195" t="str">
        <f t="shared" si="7"/>
        <v>1.00000000026599+0.0000181736289324939i</v>
      </c>
      <c r="AB22" s="195" t="str">
        <f t="shared" si="8"/>
        <v>-1275.19542954374+54.2229040807875i</v>
      </c>
      <c r="AC22" s="192">
        <f t="shared" si="24"/>
        <v>62.119380150264988</v>
      </c>
      <c r="AD22" s="195">
        <f t="shared" si="25"/>
        <v>177.56517854132895</v>
      </c>
      <c r="AE22" s="195" t="str">
        <f t="shared" si="9"/>
        <v>-1363.51548329097+57.576089070984i</v>
      </c>
      <c r="AF22" s="192">
        <f t="shared" si="10"/>
        <v>62.700938281933311</v>
      </c>
      <c r="AG22" s="195">
        <f t="shared" si="11"/>
        <v>177.58205289527143</v>
      </c>
      <c r="AI22" s="195" t="str">
        <f t="shared" si="12"/>
        <v>0.002-171.444465243615i</v>
      </c>
      <c r="AJ22" s="195">
        <f t="shared" si="13"/>
        <v>0.22500000000000001</v>
      </c>
      <c r="AK22" s="195" t="str">
        <f t="shared" si="14"/>
        <v>0.0375-342888.93048723i</v>
      </c>
      <c r="AL22" s="195" t="str">
        <f t="shared" si="15"/>
        <v>0.224999608642579-0.000295432247090918i</v>
      </c>
      <c r="AM22" s="195" t="str">
        <f t="shared" si="16"/>
        <v>0.898502495826366-3.53412244679652E-06i</v>
      </c>
      <c r="AN22" s="195" t="str">
        <f t="shared" si="17"/>
        <v>0.006+0.0000401748466610084i</v>
      </c>
      <c r="AO22" s="195" t="str">
        <f t="shared" si="26"/>
        <v>2.86374335693486-0.00311531610435065i</v>
      </c>
      <c r="AP22" s="195">
        <f t="shared" si="27"/>
        <v>9.1386870346848621</v>
      </c>
      <c r="AQ22" s="195">
        <f t="shared" si="28"/>
        <v>-6.2329046974615387E-2</v>
      </c>
      <c r="AS22" s="195" t="str">
        <f t="shared" si="18"/>
        <v>0.921951219497179-3.72099342851345E-06i</v>
      </c>
      <c r="AT22" s="195" t="str">
        <f t="shared" si="29"/>
        <v>2.87871722977533-0.00314484870278592i</v>
      </c>
      <c r="AU22" s="195">
        <f t="shared" si="30"/>
        <v>9.1839853261884095</v>
      </c>
      <c r="AV22" s="195">
        <f t="shared" si="31"/>
        <v>-6.2592631305497762E-2</v>
      </c>
    </row>
    <row r="23" spans="1:48" x14ac:dyDescent="0.2">
      <c r="A23" s="173" t="s">
        <v>242</v>
      </c>
      <c r="B23" s="172"/>
      <c r="C23" s="219">
        <f>(B4)/(2*PI()*B3*B14)</f>
        <v>3536.7765131532301</v>
      </c>
      <c r="D23" s="172" t="s">
        <v>237</v>
      </c>
      <c r="F23" s="195">
        <v>21</v>
      </c>
      <c r="G23" s="210">
        <f t="shared" si="0"/>
        <v>168.580181149439</v>
      </c>
      <c r="H23" s="210">
        <f t="shared" si="1"/>
        <v>168.57881372500071</v>
      </c>
      <c r="I23" s="196">
        <f t="shared" si="2"/>
        <v>1</v>
      </c>
      <c r="J23" s="195">
        <f t="shared" si="19"/>
        <v>1</v>
      </c>
      <c r="K23" s="195">
        <f t="shared" si="20"/>
        <v>1</v>
      </c>
      <c r="L23" s="195">
        <f>10^('Small Signal'!F23/30)</f>
        <v>5.0118723362727229</v>
      </c>
      <c r="M23" s="195" t="str">
        <f t="shared" si="21"/>
        <v>31.4905226247286i</v>
      </c>
      <c r="N23" s="195">
        <f>IF(D$32=1, IF(AND('Small Signal'!$B$62&gt;=1,FCCM=0),V23+0,S23+0), 0)</f>
        <v>9.1386862318471138</v>
      </c>
      <c r="O23" s="195">
        <f>IF(D$32=1, IF(AND('Small Signal'!$B$62&gt;=1,FCCM=0),W23,T23), 0)</f>
        <v>-6.7301352798691871E-2</v>
      </c>
      <c r="P23" s="195">
        <f>IF(AND('Small Signal'!$B$62&gt;=1,FCCM=0),AF23+0,AC23+0)</f>
        <v>62.118107701296893</v>
      </c>
      <c r="Q23" s="195">
        <f>IF(AND('Small Signal'!$B$62&gt;=1,FCCM=0),AG23,AD23)</f>
        <v>177.37119416392392</v>
      </c>
      <c r="R23" s="195" t="str">
        <f>IMDIV(IMSUM('Small Signal'!$B$2*'Small Signal'!$B$39*'Small Signal'!$B$63,IMPRODUCT(M23,'Small Signal'!$B$2*'Small Signal'!$B$39*'Small Signal'!$B$63*'Small Signal'!$B$14*'Small Signal'!$B$15)),IMSUM(IMPRODUCT('Small Signal'!$B$12*'Small Signal'!$B$14*('Small Signal'!$B$15+'Small Signal'!$B$39),IMPOWER(M23,2)),IMSUM(IMPRODUCT(M23,('Small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2.61461875295914-0.00285169630055011i</v>
      </c>
      <c r="S23" s="195">
        <f t="shared" si="22"/>
        <v>9.1386862318471138</v>
      </c>
      <c r="T23" s="195">
        <f t="shared" si="23"/>
        <v>-6.7301352798691871E-2</v>
      </c>
      <c r="U23" s="195" t="str">
        <f>IMDIV(IMSUM('Small Signal'!$B$75,IMPRODUCT(M23,'Small Signal'!$B$76)),IMSUM(IMPRODUCT('Small Signal'!$B$79,IMPOWER(M23,2)),IMSUM(IMPRODUCT(M23,'Small Signal'!$B$78),'Small Signal'!$B$77)))</f>
        <v>3.06204870289531-0.00256293219068842i</v>
      </c>
      <c r="V23" s="195">
        <f t="shared" si="3"/>
        <v>9.7202449228105099</v>
      </c>
      <c r="W23" s="195">
        <f t="shared" si="4"/>
        <v>-4.7956508096741894E-2</v>
      </c>
      <c r="X23" s="195" t="str">
        <f>IMPRODUCT(IMDIV(IMSUM(IMPRODUCT(M23,'Small Signal'!$B$58*'Small Signal'!$B$6*'Small Signal'!$B$51*'Small Signal'!$B$7*'Small Signal'!$B$8),'Small Signal'!$B$58*'Small Signal'!$B$6*'Small Signal'!$B$51),IMSUM(IMSUM(IMPRODUCT(M23,('Small Signal'!$B$5+'Small Signal'!$B$6)*('Small Signal'!$B$57*'Small Signal'!$B$58)+'Small Signal'!$B$5*'Small Signal'!$B$58*('Small Signal'!$B$8+'Small Signal'!$B$9)+'Small Signal'!$B$6*'Small Signal'!$B$58*('Small Signal'!$B$8+'Small Signal'!$B$9)+'Small Signal'!$B$7*'Small Signal'!$B$8*('Small Signal'!$B$5+'Small Signal'!$B$6)),'Small Signal'!$B$6+'Small Signal'!$B$5),IMPRODUCT(IMPOWER(M23,2),'Small Signal'!$B$57*'Small Signal'!$B$58*'Small Signal'!$B$8*'Small Signal'!$B$7*('Small Signal'!$B$5+'Small Signal'!$B$6)+('Small Signal'!$B$5+'Small Signal'!$B$6)*('Small Signal'!$B$9*'Small Signal'!$B$8*'Small Signal'!$B$58*'Small Signal'!$B$7)))),-1)</f>
        <v>-445.180914935732+19.9245875889176i</v>
      </c>
      <c r="Y23" s="195">
        <f t="shared" si="5"/>
        <v>52.979421469449761</v>
      </c>
      <c r="Z23" s="195">
        <f t="shared" si="6"/>
        <v>177.43849551672261</v>
      </c>
      <c r="AA23" s="195" t="str">
        <f t="shared" si="7"/>
        <v>1.00000000031012+0.0000196234331299697i</v>
      </c>
      <c r="AB23" s="195" t="str">
        <f t="shared" si="8"/>
        <v>-1274.81777112716+58.5313957273402i</v>
      </c>
      <c r="AC23" s="192">
        <f t="shared" si="24"/>
        <v>62.118107701296893</v>
      </c>
      <c r="AD23" s="195">
        <f t="shared" si="25"/>
        <v>177.37119416392392</v>
      </c>
      <c r="AE23" s="195" t="str">
        <f t="shared" si="9"/>
        <v>-1363.11457776579+62.151026079938i</v>
      </c>
      <c r="AF23" s="192">
        <f t="shared" si="10"/>
        <v>62.69966638789424</v>
      </c>
      <c r="AG23" s="195">
        <f t="shared" si="11"/>
        <v>177.38941466872848</v>
      </c>
      <c r="AI23" s="195" t="str">
        <f t="shared" si="12"/>
        <v>0.002-158.777930096138i</v>
      </c>
      <c r="AJ23" s="195">
        <f t="shared" si="13"/>
        <v>0.22500000000000001</v>
      </c>
      <c r="AK23" s="195" t="str">
        <f t="shared" si="14"/>
        <v>0.0375-317555.860192275i</v>
      </c>
      <c r="AL23" s="195" t="str">
        <f t="shared" si="15"/>
        <v>0.224999543710881-0.000319000309682946i</v>
      </c>
      <c r="AM23" s="195" t="str">
        <f t="shared" si="16"/>
        <v>0.898502495824059-3.81605763866593E-06i</v>
      </c>
      <c r="AN23" s="195" t="str">
        <f t="shared" si="17"/>
        <v>0.006+0.0000433798015748812i</v>
      </c>
      <c r="AO23" s="195" t="str">
        <f t="shared" si="26"/>
        <v>2.8637428110981-0.00336384033054888i</v>
      </c>
      <c r="AP23" s="195">
        <f t="shared" si="27"/>
        <v>9.1386862318471138</v>
      </c>
      <c r="AQ23" s="195">
        <f t="shared" si="28"/>
        <v>-6.7301352798691871E-2</v>
      </c>
      <c r="AS23" s="195" t="str">
        <f t="shared" si="18"/>
        <v>0.921951219494686-0.0000040178362832826i</v>
      </c>
      <c r="AT23" s="195" t="str">
        <f t="shared" si="29"/>
        <v>2.87871667581098-0.00339572888412711i</v>
      </c>
      <c r="AU23" s="195">
        <f t="shared" si="30"/>
        <v>9.1839845146663137</v>
      </c>
      <c r="AV23" s="195">
        <f t="shared" si="31"/>
        <v>-6.7585964546405169E-2</v>
      </c>
    </row>
    <row r="24" spans="1:48" x14ac:dyDescent="0.2">
      <c r="A24" s="173" t="s">
        <v>351</v>
      </c>
      <c r="B24" s="172"/>
      <c r="C24" s="219">
        <f>1/(2*PI()*B14*B15)</f>
        <v>397887.35772973835</v>
      </c>
      <c r="D24" s="172" t="s">
        <v>237</v>
      </c>
      <c r="F24" s="195">
        <v>22</v>
      </c>
      <c r="G24" s="210">
        <f t="shared" si="0"/>
        <v>168.58029023594528</v>
      </c>
      <c r="H24" s="210">
        <f t="shared" si="1"/>
        <v>168.57881372500071</v>
      </c>
      <c r="I24" s="196">
        <f t="shared" si="2"/>
        <v>1</v>
      </c>
      <c r="J24" s="195">
        <f t="shared" si="19"/>
        <v>1</v>
      </c>
      <c r="K24" s="195">
        <f t="shared" si="20"/>
        <v>1</v>
      </c>
      <c r="L24" s="195">
        <f>10^('Small Signal'!F24/30)</f>
        <v>5.4116952654646369</v>
      </c>
      <c r="M24" s="195" t="str">
        <f t="shared" si="21"/>
        <v>34.0026841789007i</v>
      </c>
      <c r="N24" s="195">
        <f>IF(D$32=1, IF(AND('Small Signal'!$B$62&gt;=1,FCCM=0),V24+0,S24+0), 0)</f>
        <v>9.1386852958070701</v>
      </c>
      <c r="O24" s="195">
        <f>IF(D$32=1, IF(AND('Small Signal'!$B$62&gt;=1,FCCM=0),W24,T24), 0)</f>
        <v>-7.2670324087170293E-2</v>
      </c>
      <c r="P24" s="195">
        <f>IF(AND('Small Signal'!$B$62&gt;=1,FCCM=0),AF24+0,AC24+0)</f>
        <v>62.116624604910903</v>
      </c>
      <c r="Q24" s="195">
        <f>IF(AND('Small Signal'!$B$62&gt;=1,FCCM=0),AG24,AD24)</f>
        <v>177.16180027078187</v>
      </c>
      <c r="R24" s="195" t="str">
        <f>IMDIV(IMSUM('Small Signal'!$B$2*'Small Signal'!$B$39*'Small Signal'!$B$63,IMPRODUCT(M24,'Small Signal'!$B$2*'Small Signal'!$B$39*'Small Signal'!$B$63*'Small Signal'!$B$14*'Small Signal'!$B$15)),IMSUM(IMPRODUCT('Small Signal'!$B$12*'Small Signal'!$B$14*('Small Signal'!$B$15+'Small Signal'!$B$39),IMPOWER(M24,2)),IMSUM(IMPRODUCT(M24,('Small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2.61461826284033-0.00307919028950859i</v>
      </c>
      <c r="S24" s="195">
        <f t="shared" si="22"/>
        <v>9.1386852958070701</v>
      </c>
      <c r="T24" s="195">
        <f t="shared" si="23"/>
        <v>-7.2670324087170293E-2</v>
      </c>
      <c r="U24" s="195" t="str">
        <f>IMDIV(IMSUM('Small Signal'!$B$75,IMPRODUCT(M24,'Small Signal'!$B$76)),IMSUM(IMPRODUCT('Small Signal'!$B$79,IMPOWER(M24,2)),IMSUM(IMPRODUCT(M24,'Small Signal'!$B$78),'Small Signal'!$B$77)))</f>
        <v>3.0620484232975-0.0027673903395542i</v>
      </c>
      <c r="V24" s="195">
        <f t="shared" si="3"/>
        <v>9.7202446344945539</v>
      </c>
      <c r="W24" s="195">
        <f t="shared" si="4"/>
        <v>-5.178224561855764E-2</v>
      </c>
      <c r="X24" s="195" t="str">
        <f>IMPRODUCT(IMDIV(IMSUM(IMPRODUCT(M24,'Small Signal'!$B$58*'Small Signal'!$B$6*'Small Signal'!$B$51*'Small Signal'!$B$7*'Small Signal'!$B$8),'Small Signal'!$B$58*'Small Signal'!$B$6*'Small Signal'!$B$51),IMSUM(IMSUM(IMPRODUCT(M24,('Small Signal'!$B$5+'Small Signal'!$B$6)*('Small Signal'!$B$57*'Small Signal'!$B$58)+'Small Signal'!$B$5*'Small Signal'!$B$58*('Small Signal'!$B$8+'Small Signal'!$B$9)+'Small Signal'!$B$6*'Small Signal'!$B$58*('Small Signal'!$B$8+'Small Signal'!$B$9)+'Small Signal'!$B$7*'Small Signal'!$B$8*('Small Signal'!$B$5+'Small Signal'!$B$6)),'Small Signal'!$B$6+'Small Signal'!$B$5),IMPRODUCT(IMPOWER(M24,2),'Small Signal'!$B$57*'Small Signal'!$B$58*'Small Signal'!$B$8*'Small Signal'!$B$7*('Small Signal'!$B$5+'Small Signal'!$B$6)+('Small Signal'!$B$5+'Small Signal'!$B$6)*('Small Signal'!$B$9*'Small Signal'!$B$8*'Small Signal'!$B$58*'Small Signal'!$B$7)))),-1)</f>
        <v>-445.031162718305+21.5067321680264i</v>
      </c>
      <c r="Y24" s="195">
        <f t="shared" si="5"/>
        <v>52.977939309103853</v>
      </c>
      <c r="Z24" s="195">
        <f t="shared" si="6"/>
        <v>177.23447059486901</v>
      </c>
      <c r="AA24" s="195" t="str">
        <f t="shared" si="7"/>
        <v>1.00000000036157+0.0000211888956924619i</v>
      </c>
      <c r="AB24" s="195" t="str">
        <f t="shared" si="8"/>
        <v>-1274.37773291438+63.179171285887i</v>
      </c>
      <c r="AC24" s="192">
        <f t="shared" si="24"/>
        <v>62.116624604910903</v>
      </c>
      <c r="AD24" s="195">
        <f t="shared" si="25"/>
        <v>177.16180027078187</v>
      </c>
      <c r="AE24" s="195" t="str">
        <f t="shared" si="9"/>
        <v>-1362.647452597+67.0862302658941i</v>
      </c>
      <c r="AF24" s="192">
        <f t="shared" si="10"/>
        <v>62.698183938507988</v>
      </c>
      <c r="AG24" s="195">
        <f t="shared" si="11"/>
        <v>177.18147431495538</v>
      </c>
      <c r="AI24" s="195" t="str">
        <f t="shared" si="12"/>
        <v>0.002-147.047214675558i</v>
      </c>
      <c r="AJ24" s="195">
        <f t="shared" si="13"/>
        <v>0.22500000000000001</v>
      </c>
      <c r="AK24" s="195" t="str">
        <f t="shared" si="14"/>
        <v>0.0375-294094.429351115i</v>
      </c>
      <c r="AL24" s="195" t="str">
        <f t="shared" si="15"/>
        <v>0.224999468006125-0.000344448494245992i</v>
      </c>
      <c r="AM24" s="195" t="str">
        <f t="shared" si="16"/>
        <v>0.89850249582137-4.12048425623006E-06i</v>
      </c>
      <c r="AN24" s="195" t="str">
        <f t="shared" si="17"/>
        <v>0.006+0.0000468404322872612i</v>
      </c>
      <c r="AO24" s="195" t="str">
        <f t="shared" si="26"/>
        <v>2.86374217469937-0.00363219045625343i</v>
      </c>
      <c r="AP24" s="195">
        <f t="shared" si="27"/>
        <v>9.1386852958070701</v>
      </c>
      <c r="AQ24" s="195">
        <f t="shared" si="28"/>
        <v>-7.2670324087170293E-2</v>
      </c>
      <c r="AS24" s="195" t="str">
        <f t="shared" si="18"/>
        <v>0.921951219491781-4.33835982497395E-06i</v>
      </c>
      <c r="AT24" s="195" t="str">
        <f t="shared" si="29"/>
        <v>2.87871602993618-0.00366662290839255i</v>
      </c>
      <c r="AU24" s="195">
        <f t="shared" si="30"/>
        <v>9.1839835685010627</v>
      </c>
      <c r="AV24" s="195">
        <f t="shared" si="31"/>
        <v>-7.2977640700229315E-2</v>
      </c>
    </row>
    <row r="25" spans="1:48" x14ac:dyDescent="0.2">
      <c r="A25" s="173" t="s">
        <v>352</v>
      </c>
      <c r="B25" s="172"/>
      <c r="C25" s="219">
        <f>1/(2*PI()*B16*B17)</f>
        <v>42441318.157838747</v>
      </c>
      <c r="D25" s="172" t="s">
        <v>237</v>
      </c>
      <c r="F25" s="195">
        <v>23</v>
      </c>
      <c r="G25" s="210">
        <f t="shared" si="0"/>
        <v>168.58040802484524</v>
      </c>
      <c r="H25" s="210">
        <f t="shared" si="1"/>
        <v>168.57881372500071</v>
      </c>
      <c r="I25" s="196">
        <f t="shared" si="2"/>
        <v>1</v>
      </c>
      <c r="J25" s="195">
        <f t="shared" si="19"/>
        <v>1</v>
      </c>
      <c r="K25" s="195">
        <f t="shared" si="20"/>
        <v>1</v>
      </c>
      <c r="L25" s="195">
        <f>10^('Small Signal'!F25/30)</f>
        <v>5.8434141337351777</v>
      </c>
      <c r="M25" s="195" t="str">
        <f t="shared" si="21"/>
        <v>36.7152538288504i</v>
      </c>
      <c r="N25" s="195">
        <f>IF(D$32=1, IF(AND('Small Signal'!$B$62&gt;=1,FCCM=0),V25+0,S25+0), 0)</f>
        <v>9.1386842044648144</v>
      </c>
      <c r="O25" s="195">
        <f>IF(D$32=1, IF(AND('Small Signal'!$B$62&gt;=1,FCCM=0),W25,T25), 0)</f>
        <v>-7.8467604622618425E-2</v>
      </c>
      <c r="P25" s="195">
        <f>IF(AND('Small Signal'!$B$62&gt;=1,FCCM=0),AF25+0,AC25+0)</f>
        <v>62.114896080193787</v>
      </c>
      <c r="Q25" s="195">
        <f>IF(AND('Small Signal'!$B$62&gt;=1,FCCM=0),AG25,AD25)</f>
        <v>176.9357844990646</v>
      </c>
      <c r="R25" s="195" t="str">
        <f>IMDIV(IMSUM('Small Signal'!$B$2*'Small Signal'!$B$39*'Small Signal'!$B$63,IMPRODUCT(M25,'Small Signal'!$B$2*'Small Signal'!$B$39*'Small Signal'!$B$63*'Small Signal'!$B$14*'Small Signal'!$B$15)),IMSUM(IMPRODUCT('Small Signal'!$B$12*'Small Signal'!$B$14*('Small Signal'!$B$15+'Small Signal'!$B$39),IMPOWER(M25,2)),IMSUM(IMPRODUCT(M25,('Small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2.61461769140397-0.0033248325069071i</v>
      </c>
      <c r="S25" s="195">
        <f t="shared" si="22"/>
        <v>9.1386842044648144</v>
      </c>
      <c r="T25" s="195">
        <f t="shared" si="23"/>
        <v>-7.8467604622618425E-2</v>
      </c>
      <c r="U25" s="195" t="str">
        <f>IMDIV(IMSUM('Small Signal'!$B$75,IMPRODUCT(M25,'Small Signal'!$B$76)),IMSUM(IMPRODUCT('Small Signal'!$B$79,IMPOWER(M25,2)),IMSUM(IMPRODUCT(M25,'Small Signal'!$B$78),'Small Signal'!$B$77)))</f>
        <v>3.06204809731043-0.00298815912313416i</v>
      </c>
      <c r="V25" s="195">
        <f t="shared" si="3"/>
        <v>9.7202442983428501</v>
      </c>
      <c r="W25" s="195">
        <f t="shared" si="4"/>
        <v>-5.5913181791916823E-2</v>
      </c>
      <c r="X25" s="195" t="str">
        <f>IMPRODUCT(IMDIV(IMSUM(IMPRODUCT(M25,'Small Signal'!$B$58*'Small Signal'!$B$6*'Small Signal'!$B$51*'Small Signal'!$B$7*'Small Signal'!$B$8),'Small Signal'!$B$58*'Small Signal'!$B$6*'Small Signal'!$B$51),IMSUM(IMSUM(IMPRODUCT(M25,('Small Signal'!$B$5+'Small Signal'!$B$6)*('Small Signal'!$B$57*'Small Signal'!$B$58)+'Small Signal'!$B$5*'Small Signal'!$B$58*('Small Signal'!$B$8+'Small Signal'!$B$9)+'Small Signal'!$B$6*'Small Signal'!$B$58*('Small Signal'!$B$8+'Small Signal'!$B$9)+'Small Signal'!$B$7*'Small Signal'!$B$8*('Small Signal'!$B$5+'Small Signal'!$B$6)),'Small Signal'!$B$6+'Small Signal'!$B$5),IMPRODUCT(IMPOWER(M25,2),'Small Signal'!$B$57*'Small Signal'!$B$58*'Small Signal'!$B$8*'Small Signal'!$B$7*('Small Signal'!$B$5+'Small Signal'!$B$6)+('Small Signal'!$B$5+'Small Signal'!$B$6)*('Small Signal'!$B$9*'Small Signal'!$B$8*'Small Signal'!$B$58*'Small Signal'!$B$7)))),-1)</f>
        <v>-444.856693466277+23.2131982247196i</v>
      </c>
      <c r="Y25" s="195">
        <f t="shared" si="5"/>
        <v>52.976211875728971</v>
      </c>
      <c r="Z25" s="195">
        <f t="shared" si="6"/>
        <v>177.01425210368723</v>
      </c>
      <c r="AA25" s="195" t="str">
        <f t="shared" si="7"/>
        <v>1.00000000042156+0.0000228792432847677i</v>
      </c>
      <c r="AB25" s="195" t="str">
        <f t="shared" si="8"/>
        <v>-1273.86506513039+68.1921573809703i</v>
      </c>
      <c r="AC25" s="192">
        <f t="shared" si="24"/>
        <v>62.114896080193787</v>
      </c>
      <c r="AD25" s="195">
        <f t="shared" si="25"/>
        <v>176.9357844990646</v>
      </c>
      <c r="AE25" s="195" t="str">
        <f t="shared" si="9"/>
        <v>-1362.10322707417+72.4092320435611i</v>
      </c>
      <c r="AF25" s="192">
        <f t="shared" si="10"/>
        <v>62.696456168136841</v>
      </c>
      <c r="AG25" s="195">
        <f t="shared" si="11"/>
        <v>176.95702803781742</v>
      </c>
      <c r="AI25" s="195" t="str">
        <f t="shared" si="12"/>
        <v>0.002-136.183179430209i</v>
      </c>
      <c r="AJ25" s="195">
        <f t="shared" si="13"/>
        <v>0.22500000000000001</v>
      </c>
      <c r="AK25" s="195" t="str">
        <f t="shared" si="14"/>
        <v>0.0375-272366.358860418i</v>
      </c>
      <c r="AL25" s="195" t="str">
        <f t="shared" si="15"/>
        <v>0.224999379740925-0.000371926781588889i</v>
      </c>
      <c r="AM25" s="195" t="str">
        <f t="shared" si="16"/>
        <v>0.898502495818234-4.44919655662406E-06i</v>
      </c>
      <c r="AN25" s="195" t="str">
        <f t="shared" si="17"/>
        <v>0.006+0.0000505771353764776i</v>
      </c>
      <c r="AO25" s="195" t="str">
        <f t="shared" si="26"/>
        <v>2.86374143271329-0.00392194805413387i</v>
      </c>
      <c r="AP25" s="195">
        <f t="shared" si="27"/>
        <v>9.1386842044648144</v>
      </c>
      <c r="AQ25" s="195">
        <f t="shared" si="28"/>
        <v>-7.8467604622618425E-2</v>
      </c>
      <c r="AS25" s="195" t="str">
        <f t="shared" si="18"/>
        <v>0.921951219488393-4.68445318423005E-06i</v>
      </c>
      <c r="AT25" s="195" t="str">
        <f t="shared" si="29"/>
        <v>2.87871527690185-0.00395912734061765i</v>
      </c>
      <c r="AU25" s="195">
        <f t="shared" si="30"/>
        <v>9.1839824653537647</v>
      </c>
      <c r="AV25" s="195">
        <f t="shared" si="31"/>
        <v>-7.8799437363843289E-2</v>
      </c>
    </row>
    <row r="26" spans="1:48" x14ac:dyDescent="0.2">
      <c r="A26" s="173"/>
      <c r="B26" s="172"/>
      <c r="C26" s="172"/>
      <c r="F26" s="195">
        <v>24</v>
      </c>
      <c r="G26" s="210">
        <f t="shared" si="0"/>
        <v>168.58053521037374</v>
      </c>
      <c r="H26" s="210">
        <f t="shared" si="1"/>
        <v>168.57881372500071</v>
      </c>
      <c r="I26" s="196">
        <f t="shared" si="2"/>
        <v>1</v>
      </c>
      <c r="J26" s="195">
        <f t="shared" si="19"/>
        <v>1</v>
      </c>
      <c r="K26" s="195">
        <f t="shared" si="20"/>
        <v>1</v>
      </c>
      <c r="L26" s="195">
        <f>10^('Small Signal'!F26/30)</f>
        <v>6.3095734448019343</v>
      </c>
      <c r="M26" s="195" t="str">
        <f t="shared" si="21"/>
        <v>39.64421916295i</v>
      </c>
      <c r="N26" s="195">
        <f>IF(D$32=1, IF(AND('Small Signal'!$B$62&gt;=1,FCCM=0),V26+0,S26+0), 0)</f>
        <v>9.1386829320535217</v>
      </c>
      <c r="O26" s="195">
        <f>IF(D$32=1, IF(AND('Small Signal'!$B$62&gt;=1,FCCM=0),W26,T26), 0)</f>
        <v>-8.4727362505778878E-2</v>
      </c>
      <c r="P26" s="195">
        <f>IF(AND('Small Signal'!$B$62&gt;=1,FCCM=0),AF26+0,AC26+0)</f>
        <v>62.11288163588182</v>
      </c>
      <c r="Q26" s="195">
        <f>IF(AND('Small Signal'!$B$62&gt;=1,FCCM=0),AG26,AD26)</f>
        <v>176.69184212761706</v>
      </c>
      <c r="R26" s="195" t="str">
        <f>IMDIV(IMSUM('Small Signal'!$B$2*'Small Signal'!$B$39*'Small Signal'!$B$63,IMPRODUCT(M26,'Small Signal'!$B$2*'Small Signal'!$B$39*'Small Signal'!$B$63*'Small Signal'!$B$14*'Small Signal'!$B$15)),IMSUM(IMPRODUCT('Small Signal'!$B$12*'Small Signal'!$B$14*('Small Signal'!$B$15+'Small Signal'!$B$39),IMPOWER(M26,2)),IMSUM(IMPRODUCT(M26,('Small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2.61461702515838-0.0035900706939885i</v>
      </c>
      <c r="S26" s="195">
        <f t="shared" si="22"/>
        <v>9.1386829320535217</v>
      </c>
      <c r="T26" s="195">
        <f t="shared" si="23"/>
        <v>-8.4727362505778878E-2</v>
      </c>
      <c r="U26" s="195" t="str">
        <f>IMDIV(IMSUM('Small Signal'!$B$75,IMPRODUCT(M26,'Small Signal'!$B$76)),IMSUM(IMPRODUCT('Small Signal'!$B$79,IMPOWER(M26,2)),IMSUM(IMPRODUCT(M26,'Small Signal'!$B$78),'Small Signal'!$B$77)))</f>
        <v>3.06204771723747-0.00322653971271293i</v>
      </c>
      <c r="V26" s="195">
        <f t="shared" si="3"/>
        <v>9.7202439064187693</v>
      </c>
      <c r="W26" s="195">
        <f t="shared" si="4"/>
        <v>-6.0373663842108891E-2</v>
      </c>
      <c r="X26" s="195" t="str">
        <f>IMPRODUCT(IMDIV(IMSUM(IMPRODUCT(M26,'Small Signal'!$B$58*'Small Signal'!$B$6*'Small Signal'!$B$51*'Small Signal'!$B$7*'Small Signal'!$B$8),'Small Signal'!$B$58*'Small Signal'!$B$6*'Small Signal'!$B$51),IMSUM(IMSUM(IMPRODUCT(M26,('Small Signal'!$B$5+'Small Signal'!$B$6)*('Small Signal'!$B$57*'Small Signal'!$B$58)+'Small Signal'!$B$5*'Small Signal'!$B$58*('Small Signal'!$B$8+'Small Signal'!$B$9)+'Small Signal'!$B$6*'Small Signal'!$B$58*('Small Signal'!$B$8+'Small Signal'!$B$9)+'Small Signal'!$B$7*'Small Signal'!$B$8*('Small Signal'!$B$5+'Small Signal'!$B$6)),'Small Signal'!$B$6+'Small Signal'!$B$5),IMPRODUCT(IMPOWER(M26,2),'Small Signal'!$B$57*'Small Signal'!$B$58*'Small Signal'!$B$8*'Small Signal'!$B$7*('Small Signal'!$B$5+'Small Signal'!$B$6)+('Small Signal'!$B$5+'Small Signal'!$B$6)*('Small Signal'!$B$9*'Small Signal'!$B$8*'Small Signal'!$B$58*'Small Signal'!$B$7)))),-1)</f>
        <v>-444.653452419141+25.0534162095647i</v>
      </c>
      <c r="Y26" s="195">
        <f t="shared" si="5"/>
        <v>52.974198703828314</v>
      </c>
      <c r="Z26" s="195">
        <f t="shared" si="6"/>
        <v>176.77656949012282</v>
      </c>
      <c r="AA26" s="195" t="str">
        <f t="shared" si="7"/>
        <v>1.0000000004915+0.0000247044386303536i</v>
      </c>
      <c r="AB26" s="195" t="str">
        <f t="shared" si="8"/>
        <v>-1273.26785309774+73.5980567845641i</v>
      </c>
      <c r="AC26" s="192">
        <f t="shared" si="24"/>
        <v>62.11288163588182</v>
      </c>
      <c r="AD26" s="195">
        <f t="shared" si="25"/>
        <v>176.69184212761706</v>
      </c>
      <c r="AE26" s="195" t="str">
        <f t="shared" si="9"/>
        <v>-1361.46925309945+78.1494479361231i</v>
      </c>
      <c r="AF26" s="192">
        <f t="shared" si="10"/>
        <v>62.69444260332741</v>
      </c>
      <c r="AG26" s="195">
        <f t="shared" si="11"/>
        <v>176.71478036621295</v>
      </c>
      <c r="AI26" s="195" t="str">
        <f t="shared" si="12"/>
        <v>0.002-126.12179292644i</v>
      </c>
      <c r="AJ26" s="195">
        <f t="shared" si="13"/>
        <v>0.22500000000000001</v>
      </c>
      <c r="AK26" s="195" t="str">
        <f t="shared" si="14"/>
        <v>0.0375-252243.585852881i</v>
      </c>
      <c r="AL26" s="195" t="str">
        <f t="shared" si="15"/>
        <v>0.224999276831346-0.000401597115651617i</v>
      </c>
      <c r="AM26" s="195" t="str">
        <f t="shared" si="16"/>
        <v>0.898502495814581-4.80413193413711E-06i</v>
      </c>
      <c r="AN26" s="195" t="str">
        <f t="shared" si="17"/>
        <v>0.006+0.0000546119345612066i</v>
      </c>
      <c r="AO26" s="195" t="str">
        <f t="shared" si="26"/>
        <v>2.86374056762151-0.00423482085628359i</v>
      </c>
      <c r="AP26" s="195">
        <f t="shared" si="27"/>
        <v>9.1386829320535217</v>
      </c>
      <c r="AQ26" s="195">
        <f t="shared" si="28"/>
        <v>-8.4727362505778878E-2</v>
      </c>
      <c r="AS26" s="195" t="str">
        <f t="shared" si="18"/>
        <v>0.921951219484445-5.05815619739691E-06i</v>
      </c>
      <c r="AT26" s="195" t="str">
        <f t="shared" si="29"/>
        <v>2.87871439892876-0.00427496610105972i</v>
      </c>
      <c r="AU26" s="195">
        <f t="shared" si="30"/>
        <v>9.1839811791787902</v>
      </c>
      <c r="AV26" s="195">
        <f t="shared" si="31"/>
        <v>-8.5085667126208964E-2</v>
      </c>
    </row>
    <row r="27" spans="1:48" x14ac:dyDescent="0.2">
      <c r="A27" s="173" t="s">
        <v>268</v>
      </c>
      <c r="B27" s="172"/>
      <c r="C27" s="219">
        <f>1/(2*PI()*B7*B8)</f>
        <v>7493.1705787144692</v>
      </c>
      <c r="D27" s="172" t="s">
        <v>237</v>
      </c>
      <c r="F27" s="195">
        <v>25</v>
      </c>
      <c r="G27" s="210">
        <f t="shared" si="0"/>
        <v>168.58067254214831</v>
      </c>
      <c r="H27" s="210">
        <f t="shared" si="1"/>
        <v>168.57881372500071</v>
      </c>
      <c r="I27" s="196">
        <f t="shared" si="2"/>
        <v>1</v>
      </c>
      <c r="J27" s="195">
        <f t="shared" si="19"/>
        <v>1</v>
      </c>
      <c r="K27" s="195">
        <f t="shared" si="20"/>
        <v>1</v>
      </c>
      <c r="L27" s="195">
        <f>10^('Small Signal'!F27/30)</f>
        <v>6.812920690579614</v>
      </c>
      <c r="M27" s="195" t="str">
        <f t="shared" si="21"/>
        <v>42.8068431820296i</v>
      </c>
      <c r="N27" s="195">
        <f>IF(D$32=1, IF(AND('Small Signal'!$B$62&gt;=1,FCCM=0),V27+0,S27+0), 0)</f>
        <v>9.1386814485313597</v>
      </c>
      <c r="O27" s="195">
        <f>IF(D$32=1, IF(AND('Small Signal'!$B$62&gt;=1,FCCM=0),W27,T27), 0)</f>
        <v>-9.1486491515415713E-2</v>
      </c>
      <c r="P27" s="195">
        <f>IF(AND('Small Signal'!$B$62&gt;=1,FCCM=0),AF27+0,AC27+0)</f>
        <v>62.110534144454462</v>
      </c>
      <c r="Q27" s="195">
        <f>IF(AND('Small Signal'!$B$62&gt;=1,FCCM=0),AG27,AD27)</f>
        <v>176.42856982518447</v>
      </c>
      <c r="R27" s="195" t="str">
        <f>IMDIV(IMSUM('Small Signal'!$B$2*'Small Signal'!$B$39*'Small Signal'!$B$63,IMPRODUCT(M27,'Small Signal'!$B$2*'Small Signal'!$B$39*'Small Signal'!$B$63*'Small Signal'!$B$14*'Small Signal'!$B$15)),IMSUM(IMPRODUCT('Small Signal'!$B$12*'Small Signal'!$B$14*('Small Signal'!$B$15+'Small Signal'!$B$39),IMPOWER(M27,2)),IMSUM(IMPRODUCT(M27,('Small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2.61461624837346-0.00387646807630477i</v>
      </c>
      <c r="S27" s="195">
        <f t="shared" si="22"/>
        <v>9.1386814485313597</v>
      </c>
      <c r="T27" s="195">
        <f t="shared" si="23"/>
        <v>-9.1486491515415713E-2</v>
      </c>
      <c r="U27" s="195" t="str">
        <f>IMDIV(IMSUM('Small Signal'!$B$75,IMPRODUCT(M27,'Small Signal'!$B$76)),IMSUM(IMPRODUCT('Small Signal'!$B$79,IMPOWER(M27,2)),IMSUM(IMPRODUCT(M27,'Small Signal'!$B$78),'Small Signal'!$B$77)))</f>
        <v>3.06204727410501-0.00348393707755441i</v>
      </c>
      <c r="V27" s="195">
        <f t="shared" si="3"/>
        <v>9.7202434494688745</v>
      </c>
      <c r="W27" s="195">
        <f t="shared" si="4"/>
        <v>-6.5189981286186013E-2</v>
      </c>
      <c r="X27" s="195" t="str">
        <f>IMPRODUCT(IMDIV(IMSUM(IMPRODUCT(M27,'Small Signal'!$B$58*'Small Signal'!$B$6*'Small Signal'!$B$51*'Small Signal'!$B$7*'Small Signal'!$B$8),'Small Signal'!$B$58*'Small Signal'!$B$6*'Small Signal'!$B$51),IMSUM(IMSUM(IMPRODUCT(M27,('Small Signal'!$B$5+'Small Signal'!$B$6)*('Small Signal'!$B$57*'Small Signal'!$B$58)+'Small Signal'!$B$5*'Small Signal'!$B$58*('Small Signal'!$B$8+'Small Signal'!$B$9)+'Small Signal'!$B$6*'Small Signal'!$B$58*('Small Signal'!$B$8+'Small Signal'!$B$9)+'Small Signal'!$B$7*'Small Signal'!$B$8*('Small Signal'!$B$5+'Small Signal'!$B$6)),'Small Signal'!$B$6+'Small Signal'!$B$5),IMPRODUCT(IMPOWER(M27,2),'Small Signal'!$B$57*'Small Signal'!$B$58*'Small Signal'!$B$8*'Small Signal'!$B$7*('Small Signal'!$B$5+'Small Signal'!$B$6)+('Small Signal'!$B$5+'Small Signal'!$B$6)*('Small Signal'!$B$9*'Small Signal'!$B$8*'Small Signal'!$B$58*'Small Signal'!$B$7)))),-1)</f>
        <v>-444.416728535349+27.0374441910741i</v>
      </c>
      <c r="Y27" s="195">
        <f t="shared" si="5"/>
        <v>52.971852695923111</v>
      </c>
      <c r="Z27" s="195">
        <f t="shared" si="6"/>
        <v>176.52005631669988</v>
      </c>
      <c r="AA27" s="195" t="str">
        <f t="shared" si="7"/>
        <v>1.00000000057305+0.0000266752392305532i</v>
      </c>
      <c r="AB27" s="195" t="str">
        <f t="shared" si="8"/>
        <v>-1272.57225369578+79.4264158421341i</v>
      </c>
      <c r="AC27" s="192">
        <f t="shared" si="24"/>
        <v>62.110534144454462</v>
      </c>
      <c r="AD27" s="195">
        <f t="shared" si="25"/>
        <v>176.42856982518447</v>
      </c>
      <c r="AE27" s="195" t="str">
        <f t="shared" si="9"/>
        <v>-1360.73083542403+84.3382522024745i</v>
      </c>
      <c r="AF27" s="192">
        <f t="shared" si="10"/>
        <v>62.692096137324221</v>
      </c>
      <c r="AG27" s="195">
        <f t="shared" si="11"/>
        <v>176.45333795678951</v>
      </c>
      <c r="AI27" s="195" t="str">
        <f t="shared" si="12"/>
        <v>0.002-116.803754454358i</v>
      </c>
      <c r="AJ27" s="195">
        <f t="shared" si="13"/>
        <v>0.22500000000000001</v>
      </c>
      <c r="AK27" s="195" t="str">
        <f t="shared" si="14"/>
        <v>0.0375-233607.508908716i</v>
      </c>
      <c r="AL27" s="195" t="str">
        <f t="shared" si="15"/>
        <v>0.224999156847705-0.000433634357448621i</v>
      </c>
      <c r="AM27" s="195" t="str">
        <f t="shared" si="16"/>
        <v>0.898502495810317-5.18738233900199E-06i</v>
      </c>
      <c r="AN27" s="195" t="str">
        <f t="shared" si="17"/>
        <v>0.006+0.0000589686105058571i</v>
      </c>
      <c r="AO27" s="195" t="str">
        <f t="shared" si="26"/>
        <v>2.86373955899919-0.00457265281581426i</v>
      </c>
      <c r="AP27" s="195">
        <f t="shared" si="27"/>
        <v>9.1386814485313597</v>
      </c>
      <c r="AQ27" s="195">
        <f t="shared" si="28"/>
        <v>-9.1486491515415713E-2</v>
      </c>
      <c r="AS27" s="195" t="str">
        <f t="shared" si="18"/>
        <v>0.921951219479843-5.46167142909587E-06i</v>
      </c>
      <c r="AT27" s="195" t="str">
        <f t="shared" si="29"/>
        <v>2.87871337528792-0.00461600062213044i</v>
      </c>
      <c r="AU27" s="195">
        <f t="shared" si="30"/>
        <v>9.1839796796092656</v>
      </c>
      <c r="AV27" s="195">
        <f t="shared" si="31"/>
        <v>-9.1873379779439976E-2</v>
      </c>
    </row>
    <row r="28" spans="1:48" x14ac:dyDescent="0.2">
      <c r="A28" s="173" t="s">
        <v>269</v>
      </c>
      <c r="B28" s="172"/>
      <c r="C28" s="219">
        <f>1/(2*PI()*B7*(B9+0.00000000001))</f>
        <v>364532.6227482715</v>
      </c>
      <c r="D28" s="172" t="s">
        <v>237</v>
      </c>
      <c r="F28" s="195">
        <v>26</v>
      </c>
      <c r="G28" s="210">
        <f t="shared" si="0"/>
        <v>168.58082082958742</v>
      </c>
      <c r="H28" s="210">
        <f t="shared" si="1"/>
        <v>168.57881372500071</v>
      </c>
      <c r="I28" s="196">
        <f t="shared" si="2"/>
        <v>1</v>
      </c>
      <c r="J28" s="195">
        <f t="shared" si="19"/>
        <v>1</v>
      </c>
      <c r="K28" s="195">
        <f t="shared" si="20"/>
        <v>1</v>
      </c>
      <c r="L28" s="195">
        <f>10^('Small Signal'!F28/30)</f>
        <v>7.3564225445964153</v>
      </c>
      <c r="M28" s="195" t="str">
        <f t="shared" si="21"/>
        <v>46.2217660456129i</v>
      </c>
      <c r="N28" s="195">
        <f>IF(D$32=1, IF(AND('Small Signal'!$B$62&gt;=1,FCCM=0),V28+0,S28+0), 0)</f>
        <v>9.1386797188721118</v>
      </c>
      <c r="O28" s="195">
        <f>IF(D$32=1, IF(AND('Small Signal'!$B$62&gt;=1,FCCM=0),W28,T28), 0)</f>
        <v>-9.8784828526992996E-2</v>
      </c>
      <c r="P28" s="195">
        <f>IF(AND('Small Signal'!$B$62&gt;=1,FCCM=0),AF28+0,AC28+0)</f>
        <v>62.107798770251392</v>
      </c>
      <c r="Q28" s="195">
        <f>IF(AND('Small Signal'!$B$62&gt;=1,FCCM=0),AG28,AD28)</f>
        <v>176.14445918317091</v>
      </c>
      <c r="R28" s="195" t="str">
        <f>IMDIV(IMSUM('Small Signal'!$B$2*'Small Signal'!$B$39*'Small Signal'!$B$63,IMPRODUCT(M28,'Small Signal'!$B$2*'Small Signal'!$B$39*'Small Signal'!$B$63*'Small Signal'!$B$14*'Small Signal'!$B$15)),IMSUM(IMPRODUCT('Small Signal'!$B$12*'Small Signal'!$B$14*('Small Signal'!$B$15+'Small Signal'!$B$39),IMPOWER(M28,2)),IMSUM(IMPRODUCT(M28,('Small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2.61461534270929-0.00418571257404094i</v>
      </c>
      <c r="S28" s="195">
        <f t="shared" si="22"/>
        <v>9.1386797188721118</v>
      </c>
      <c r="T28" s="195">
        <f t="shared" si="23"/>
        <v>-9.8784828526992996E-2</v>
      </c>
      <c r="U28" s="195" t="str">
        <f>IMDIV(IMSUM('Small Signal'!$B$75,IMPRODUCT(M28,'Small Signal'!$B$76)),IMSUM(IMPRODUCT('Small Signal'!$B$79,IMPOWER(M28,2)),IMSUM(IMPRODUCT(M28,'Small Signal'!$B$78),'Small Signal'!$B$77)))</f>
        <v>3.06204675745059-0.00376186826458142i</v>
      </c>
      <c r="V28" s="195">
        <f t="shared" si="3"/>
        <v>9.7202429167044286</v>
      </c>
      <c r="W28" s="195">
        <f t="shared" si="4"/>
        <v>-7.0390520876475904E-2</v>
      </c>
      <c r="X28" s="195" t="str">
        <f>IMPRODUCT(IMDIV(IMSUM(IMPRODUCT(M28,'Small Signal'!$B$58*'Small Signal'!$B$6*'Small Signal'!$B$51*'Small Signal'!$B$7*'Small Signal'!$B$8),'Small Signal'!$B$58*'Small Signal'!$B$6*'Small Signal'!$B$51),IMSUM(IMSUM(IMPRODUCT(M28,('Small Signal'!$B$5+'Small Signal'!$B$6)*('Small Signal'!$B$57*'Small Signal'!$B$58)+'Small Signal'!$B$5*'Small Signal'!$B$58*('Small Signal'!$B$8+'Small Signal'!$B$9)+'Small Signal'!$B$6*'Small Signal'!$B$58*('Small Signal'!$B$8+'Small Signal'!$B$9)+'Small Signal'!$B$7*'Small Signal'!$B$8*('Small Signal'!$B$5+'Small Signal'!$B$6)),'Small Signal'!$B$6+'Small Signal'!$B$5),IMPRODUCT(IMPOWER(M28,2),'Small Signal'!$B$57*'Small Signal'!$B$58*'Small Signal'!$B$8*'Small Signal'!$B$7*('Small Signal'!$B$5+'Small Signal'!$B$6)+('Small Signal'!$B$5+'Small Signal'!$B$6)*('Small Signal'!$B$9*'Small Signal'!$B$8*'Small Signal'!$B$58*'Small Signal'!$B$7)))),-1)</f>
        <v>-444.141051450279+29.1759863231793i</v>
      </c>
      <c r="Y28" s="195">
        <f t="shared" si="5"/>
        <v>52.969119051379302</v>
      </c>
      <c r="Z28" s="195">
        <f t="shared" si="6"/>
        <v>176.2432440116979</v>
      </c>
      <c r="AA28" s="195" t="str">
        <f t="shared" si="7"/>
        <v>1.00000000066813+0.0000288032607680957i</v>
      </c>
      <c r="AB28" s="195" t="str">
        <f t="shared" si="8"/>
        <v>-1271.76219257773+85.7086786861268i</v>
      </c>
      <c r="AC28" s="192">
        <f t="shared" si="24"/>
        <v>62.107798770251392</v>
      </c>
      <c r="AD28" s="195">
        <f t="shared" si="25"/>
        <v>176.14445918317091</v>
      </c>
      <c r="AE28" s="195" t="str">
        <f t="shared" si="9"/>
        <v>-1359.87091022699+91.0090344427626i</v>
      </c>
      <c r="AF28" s="192">
        <f t="shared" si="10"/>
        <v>62.689361958677438</v>
      </c>
      <c r="AG28" s="195">
        <f t="shared" si="11"/>
        <v>176.17120318554475</v>
      </c>
      <c r="AI28" s="195" t="str">
        <f t="shared" si="12"/>
        <v>0.002-108.174144515938i</v>
      </c>
      <c r="AJ28" s="195">
        <f t="shared" si="13"/>
        <v>0.22500000000000001</v>
      </c>
      <c r="AK28" s="195" t="str">
        <f t="shared" si="14"/>
        <v>0.0375-216348.289031876i</v>
      </c>
      <c r="AL28" s="195" t="str">
        <f t="shared" si="15"/>
        <v>0.224999016957214-0.000468227315004997i</v>
      </c>
      <c r="AM28" s="195" t="str">
        <f t="shared" si="16"/>
        <v>0.89850249580535-5.60120660712082E-06i</v>
      </c>
      <c r="AN28" s="195" t="str">
        <f t="shared" si="17"/>
        <v>0.006+0.0000636728409812014i</v>
      </c>
      <c r="AO28" s="195" t="str">
        <f t="shared" si="26"/>
        <v>2.86373838303276-0.00493743497039152i</v>
      </c>
      <c r="AP28" s="195">
        <f t="shared" si="27"/>
        <v>9.1386797188721118</v>
      </c>
      <c r="AQ28" s="195">
        <f t="shared" si="28"/>
        <v>-9.8784828526992996E-2</v>
      </c>
      <c r="AS28" s="195" t="str">
        <f t="shared" si="18"/>
        <v>0.921951219474471-5.89737715389826E-06i</v>
      </c>
      <c r="AT28" s="195" t="str">
        <f t="shared" si="29"/>
        <v>2.87871218181122-0.00498424081486031i</v>
      </c>
      <c r="AU28" s="195">
        <f t="shared" si="30"/>
        <v>9.1839779312402321</v>
      </c>
      <c r="AV28" s="195">
        <f t="shared" si="31"/>
        <v>-9.9202580656523986E-2</v>
      </c>
    </row>
    <row r="29" spans="1:48" x14ac:dyDescent="0.2">
      <c r="A29" s="173" t="s">
        <v>246</v>
      </c>
      <c r="B29" s="172"/>
      <c r="C29" s="219">
        <f>1/(2*PI()*Cff_ss*Rhs_ss)</f>
        <v>141471.06052612921</v>
      </c>
      <c r="D29" s="172" t="s">
        <v>237</v>
      </c>
      <c r="F29" s="195">
        <v>27</v>
      </c>
      <c r="G29" s="210">
        <f t="shared" si="0"/>
        <v>168.58098094668082</v>
      </c>
      <c r="H29" s="210">
        <f t="shared" si="1"/>
        <v>168.57881372500071</v>
      </c>
      <c r="I29" s="196">
        <f t="shared" si="2"/>
        <v>1</v>
      </c>
      <c r="J29" s="195">
        <f t="shared" si="19"/>
        <v>1</v>
      </c>
      <c r="K29" s="195">
        <f t="shared" si="20"/>
        <v>1</v>
      </c>
      <c r="L29" s="195">
        <f>10^('Small Signal'!F29/30)</f>
        <v>7.9432823472428176</v>
      </c>
      <c r="M29" s="195" t="str">
        <f t="shared" si="21"/>
        <v>49.9091149349751i</v>
      </c>
      <c r="N29" s="195">
        <f>IF(D$32=1, IF(AND('Small Signal'!$B$62&gt;=1,FCCM=0),V29+0,S29+0), 0)</f>
        <v>9.1386777022382777</v>
      </c>
      <c r="O29" s="195">
        <f>IF(D$32=1, IF(AND('Small Signal'!$B$62&gt;=1,FCCM=0),W29,T29), 0)</f>
        <v>-0.10666538827008329</v>
      </c>
      <c r="P29" s="195">
        <f>IF(AND('Small Signal'!$B$62&gt;=1,FCCM=0),AF29+0,AC29+0)</f>
        <v>62.104611730095741</v>
      </c>
      <c r="Q29" s="195">
        <f>IF(AND('Small Signal'!$B$62&gt;=1,FCCM=0),AG29,AD29)</f>
        <v>175.83789008645914</v>
      </c>
      <c r="R29" s="195" t="str">
        <f>IMDIV(IMSUM('Small Signal'!$B$2*'Small Signal'!$B$39*'Small Signal'!$B$63,IMPRODUCT(M29,'Small Signal'!$B$2*'Small Signal'!$B$39*'Small Signal'!$B$63*'Small Signal'!$B$14*'Small Signal'!$B$15)),IMSUM(IMPRODUCT('Small Signal'!$B$12*'Small Signal'!$B$14*('Small Signal'!$B$15+'Small Signal'!$B$39),IMPOWER(M29,2)),IMSUM(IMPRODUCT(M29,('Small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2.61461428678313-0.00451962674645846i</v>
      </c>
      <c r="S29" s="195">
        <f t="shared" si="22"/>
        <v>9.1386777022382777</v>
      </c>
      <c r="T29" s="195">
        <f t="shared" si="23"/>
        <v>-0.10666538827008329</v>
      </c>
      <c r="U29" s="195" t="str">
        <f>IMDIV(IMSUM('Small Signal'!$B$75,IMPRODUCT(M29,'Small Signal'!$B$76)),IMSUM(IMPRODUCT('Small Signal'!$B$79,IMPOWER(M29,2)),IMSUM(IMPRODUCT(M29,'Small Signal'!$B$78),'Small Signal'!$B$77)))</f>
        <v>3.0620461550759-0.00406197133835531i</v>
      </c>
      <c r="V29" s="195">
        <f t="shared" si="3"/>
        <v>9.7202422955467398</v>
      </c>
      <c r="W29" s="195">
        <f t="shared" si="4"/>
        <v>-7.6005933903923781E-2</v>
      </c>
      <c r="X29" s="195" t="str">
        <f>IMPRODUCT(IMDIV(IMSUM(IMPRODUCT(M29,'Small Signal'!$B$58*'Small Signal'!$B$6*'Small Signal'!$B$51*'Small Signal'!$B$7*'Small Signal'!$B$8),'Small Signal'!$B$58*'Small Signal'!$B$6*'Small Signal'!$B$51),IMSUM(IMSUM(IMPRODUCT(M29,('Small Signal'!$B$5+'Small Signal'!$B$6)*('Small Signal'!$B$57*'Small Signal'!$B$58)+'Small Signal'!$B$5*'Small Signal'!$B$58*('Small Signal'!$B$8+'Small Signal'!$B$9)+'Small Signal'!$B$6*'Small Signal'!$B$58*('Small Signal'!$B$8+'Small Signal'!$B$9)+'Small Signal'!$B$7*'Small Signal'!$B$8*('Small Signal'!$B$5+'Small Signal'!$B$6)),'Small Signal'!$B$6+'Small Signal'!$B$5),IMPRODUCT(IMPOWER(M29,2),'Small Signal'!$B$57*'Small Signal'!$B$58*'Small Signal'!$B$8*'Small Signal'!$B$7*('Small Signal'!$B$5+'Small Signal'!$B$6)+('Small Signal'!$B$5+'Small Signal'!$B$6)*('Small Signal'!$B$9*'Small Signal'!$B$8*'Small Signal'!$B$58*'Small Signal'!$B$7)))),-1)</f>
        <v>-443.820073397062+31.4804049206157i</v>
      </c>
      <c r="Y29" s="195">
        <f t="shared" si="5"/>
        <v>52.965934027857486</v>
      </c>
      <c r="Z29" s="195">
        <f t="shared" si="6"/>
        <v>175.94455547472921</v>
      </c>
      <c r="AA29" s="195" t="str">
        <f t="shared" si="7"/>
        <v>1.00000000077898+0.0000311010455686614i</v>
      </c>
      <c r="AB29" s="195" t="str">
        <f t="shared" si="8"/>
        <v>-1270.81901720222+92.4782226623683i</v>
      </c>
      <c r="AC29" s="192">
        <f t="shared" si="24"/>
        <v>62.104611730095741</v>
      </c>
      <c r="AD29" s="195">
        <f t="shared" si="25"/>
        <v>175.83789008645914</v>
      </c>
      <c r="AE29" s="195" t="str">
        <f t="shared" si="9"/>
        <v>-1358.86967678847+98.1972372649294i</v>
      </c>
      <c r="AF29" s="192">
        <f t="shared" si="10"/>
        <v>62.686176312437276</v>
      </c>
      <c r="AG29" s="195">
        <f t="shared" si="11"/>
        <v>175.86676758217774</v>
      </c>
      <c r="AI29" s="195" t="str">
        <f t="shared" si="12"/>
        <v>0.002-100.182101135521i</v>
      </c>
      <c r="AJ29" s="195">
        <f t="shared" si="13"/>
        <v>0.22500000000000001</v>
      </c>
      <c r="AK29" s="195" t="str">
        <f t="shared" si="14"/>
        <v>0.0375-200364.202271041i</v>
      </c>
      <c r="AL29" s="195" t="str">
        <f t="shared" si="15"/>
        <v>0.224998853857097-0.000505579855319946i</v>
      </c>
      <c r="AM29" s="195" t="str">
        <f t="shared" si="16"/>
        <v>0.898502495799552-6.04804377339591E-06i</v>
      </c>
      <c r="AN29" s="195" t="str">
        <f t="shared" si="17"/>
        <v>0.006+0.0000687523522063432i</v>
      </c>
      <c r="AO29" s="195" t="str">
        <f t="shared" si="26"/>
        <v>2.86373701195772-0.00533131717150035i</v>
      </c>
      <c r="AP29" s="195">
        <f t="shared" si="27"/>
        <v>9.1386777022382777</v>
      </c>
      <c r="AQ29" s="195">
        <f t="shared" si="28"/>
        <v>-0.10666538827008329</v>
      </c>
      <c r="AS29" s="195" t="str">
        <f t="shared" si="18"/>
        <v>0.92195121946821-0.000006367841373615i</v>
      </c>
      <c r="AT29" s="195" t="str">
        <f t="shared" si="29"/>
        <v>2.87871079032077-0.00538185690928546i</v>
      </c>
      <c r="AU29" s="195">
        <f t="shared" si="30"/>
        <v>9.1839758927925139</v>
      </c>
      <c r="AV29" s="195">
        <f t="shared" si="31"/>
        <v>-0.10711646638100143</v>
      </c>
    </row>
    <row r="30" spans="1:48" x14ac:dyDescent="0.2">
      <c r="A30" s="173" t="s">
        <v>247</v>
      </c>
      <c r="B30" s="172"/>
      <c r="C30" s="219">
        <f>1/(2*PI()*Cff_ss*Rhs_ss*Rls_ss/(Rhs_ss+Rls_ss))</f>
        <v>317138.76813307771</v>
      </c>
      <c r="D30" s="172" t="s">
        <v>237</v>
      </c>
      <c r="F30" s="195">
        <v>28</v>
      </c>
      <c r="G30" s="210">
        <f t="shared" si="0"/>
        <v>168.58115383714119</v>
      </c>
      <c r="H30" s="210">
        <f t="shared" si="1"/>
        <v>168.57881372500071</v>
      </c>
      <c r="I30" s="196">
        <f t="shared" si="2"/>
        <v>1</v>
      </c>
      <c r="J30" s="195">
        <f t="shared" si="19"/>
        <v>1</v>
      </c>
      <c r="K30" s="195">
        <f t="shared" si="20"/>
        <v>1</v>
      </c>
      <c r="L30" s="195">
        <f>10^('Small Signal'!F30/30)</f>
        <v>8.5769589859089415</v>
      </c>
      <c r="M30" s="195" t="str">
        <f t="shared" si="21"/>
        <v>53.890622680545i</v>
      </c>
      <c r="N30" s="195">
        <f>IF(D$32=1, IF(AND('Small Signal'!$B$62&gt;=1,FCCM=0),V30+0,S30+0), 0)</f>
        <v>9.1386753510170511</v>
      </c>
      <c r="O30" s="195">
        <f>IF(D$32=1, IF(AND('Small Signal'!$B$62&gt;=1,FCCM=0),W30,T30), 0)</f>
        <v>-0.11517461680618284</v>
      </c>
      <c r="P30" s="195">
        <f>IF(AND('Small Signal'!$B$62&gt;=1,FCCM=0),AF30+0,AC30+0)</f>
        <v>62.100898862268835</v>
      </c>
      <c r="Q30" s="195">
        <f>IF(AND('Small Signal'!$B$62&gt;=1,FCCM=0),AG30,AD30)</f>
        <v>175.50712399717835</v>
      </c>
      <c r="R30" s="195" t="str">
        <f>IMDIV(IMSUM('Small Signal'!$B$2*'Small Signal'!$B$39*'Small Signal'!$B$63,IMPRODUCT(M30,'Small Signal'!$B$2*'Small Signal'!$B$39*'Small Signal'!$B$63*'Small Signal'!$B$14*'Small Signal'!$B$15)),IMSUM(IMPRODUCT('Small Signal'!$B$12*'Small Signal'!$B$14*('Small Signal'!$B$15+'Small Signal'!$B$39),IMPOWER(M30,2)),IMSUM(IMPRODUCT(M30,('Small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2.61461305566463-0.00488017852885759i</v>
      </c>
      <c r="S30" s="195">
        <f t="shared" si="22"/>
        <v>9.1386753510170511</v>
      </c>
      <c r="T30" s="195">
        <f t="shared" si="23"/>
        <v>-0.11517461680618284</v>
      </c>
      <c r="U30" s="195" t="str">
        <f>IMDIV(IMSUM('Small Signal'!$B$75,IMPRODUCT(M30,'Small Signal'!$B$76)),IMSUM(IMPRODUCT('Small Signal'!$B$79,IMPOWER(M30,2)),IMSUM(IMPRODUCT(M30,'Small Signal'!$B$78),'Small Signal'!$B$77)))</f>
        <v>3.06204545275877-0.00438601503397649i</v>
      </c>
      <c r="V30" s="195">
        <f t="shared" si="3"/>
        <v>9.7202415713301331</v>
      </c>
      <c r="W30" s="195">
        <f t="shared" si="4"/>
        <v>-8.2069316847070292E-2</v>
      </c>
      <c r="X30" s="195" t="str">
        <f>IMPRODUCT(IMDIV(IMSUM(IMPRODUCT(M30,'Small Signal'!$B$58*'Small Signal'!$B$6*'Small Signal'!$B$51*'Small Signal'!$B$7*'Small Signal'!$B$8),'Small Signal'!$B$58*'Small Signal'!$B$6*'Small Signal'!$B$51),IMSUM(IMSUM(IMPRODUCT(M30,('Small Signal'!$B$5+'Small Signal'!$B$6)*('Small Signal'!$B$57*'Small Signal'!$B$58)+'Small Signal'!$B$5*'Small Signal'!$B$58*('Small Signal'!$B$8+'Small Signal'!$B$9)+'Small Signal'!$B$6*'Small Signal'!$B$58*('Small Signal'!$B$8+'Small Signal'!$B$9)+'Small Signal'!$B$7*'Small Signal'!$B$8*('Small Signal'!$B$5+'Small Signal'!$B$6)),'Small Signal'!$B$6+'Small Signal'!$B$5),IMPRODUCT(IMPOWER(M30,2),'Small Signal'!$B$57*'Small Signal'!$B$58*'Small Signal'!$B$8*'Small Signal'!$B$7*('Small Signal'!$B$5+'Small Signal'!$B$6)+('Small Signal'!$B$5+'Small Signal'!$B$6)*('Small Signal'!$B$9*'Small Signal'!$B$8*'Small Signal'!$B$58*'Small Signal'!$B$7)))),-1)</f>
        <v>-443.44643431139+33.9627237410005i</v>
      </c>
      <c r="Y30" s="195">
        <f t="shared" si="5"/>
        <v>52.962223511251793</v>
      </c>
      <c r="Z30" s="195">
        <f t="shared" si="6"/>
        <v>175.62229861398458</v>
      </c>
      <c r="AA30" s="195" t="str">
        <f t="shared" si="7"/>
        <v>1.00000000090822+0.0000335821365239674i</v>
      </c>
      <c r="AB30" s="195" t="str">
        <f t="shared" si="8"/>
        <v>-1269.72110045198+99.7703679131484i</v>
      </c>
      <c r="AC30" s="192">
        <f t="shared" si="24"/>
        <v>62.100898862268835</v>
      </c>
      <c r="AD30" s="195">
        <f t="shared" si="25"/>
        <v>175.50712399717835</v>
      </c>
      <c r="AE30" s="195" t="str">
        <f t="shared" si="9"/>
        <v>-1357.70417670836+105.940366522086i</v>
      </c>
      <c r="AF30" s="192">
        <f t="shared" si="10"/>
        <v>62.682465069795434</v>
      </c>
      <c r="AG30" s="195">
        <f t="shared" si="11"/>
        <v>175.5383051824501</v>
      </c>
      <c r="AI30" s="195" t="str">
        <f t="shared" si="12"/>
        <v>0.002-92.7805200848987i</v>
      </c>
      <c r="AJ30" s="195">
        <f t="shared" si="13"/>
        <v>0.22500000000000001</v>
      </c>
      <c r="AK30" s="195" t="str">
        <f t="shared" si="14"/>
        <v>0.0375-185561.040169797i</v>
      </c>
      <c r="AL30" s="195" t="str">
        <f t="shared" si="15"/>
        <v>0.224998663696622-0.000545912104866018i</v>
      </c>
      <c r="AM30" s="195" t="str">
        <f t="shared" si="16"/>
        <v>0.898502495792804-6.53052744713461E-06i</v>
      </c>
      <c r="AN30" s="195" t="str">
        <f t="shared" si="17"/>
        <v>0.006+0.0000742370822640161i</v>
      </c>
      <c r="AO30" s="195" t="str">
        <f t="shared" si="26"/>
        <v>2.8637354134032-0.00575662074826806i</v>
      </c>
      <c r="AP30" s="195">
        <f t="shared" si="27"/>
        <v>9.1386753510170511</v>
      </c>
      <c r="AQ30" s="195">
        <f t="shared" si="28"/>
        <v>-0.11517461680618284</v>
      </c>
      <c r="AS30" s="195" t="str">
        <f t="shared" si="18"/>
        <v>0.921951219460919-6.87583695281785E-06i</v>
      </c>
      <c r="AT30" s="195" t="str">
        <f t="shared" si="29"/>
        <v>2.87870916796366-0.00581119223823302i</v>
      </c>
      <c r="AU30" s="195">
        <f t="shared" si="30"/>
        <v>9.1839735161381597</v>
      </c>
      <c r="AV30" s="195">
        <f t="shared" si="31"/>
        <v>-0.11566167941607999</v>
      </c>
    </row>
    <row r="31" spans="1:48" x14ac:dyDescent="0.2">
      <c r="A31" s="173"/>
      <c r="B31" s="172"/>
      <c r="C31" s="172"/>
      <c r="F31" s="195">
        <v>29</v>
      </c>
      <c r="G31" s="210">
        <f t="shared" si="0"/>
        <v>168.58134051996581</v>
      </c>
      <c r="H31" s="210">
        <f t="shared" si="1"/>
        <v>168.57881372500071</v>
      </c>
      <c r="I31" s="196">
        <f t="shared" si="2"/>
        <v>1</v>
      </c>
      <c r="J31" s="195">
        <f t="shared" si="19"/>
        <v>1</v>
      </c>
      <c r="K31" s="195">
        <f t="shared" si="20"/>
        <v>1</v>
      </c>
      <c r="L31" s="195">
        <f>10^('Small Signal'!F31/30)</f>
        <v>9.2611872812879383</v>
      </c>
      <c r="M31" s="195" t="str">
        <f t="shared" si="21"/>
        <v>58.1897558528268i</v>
      </c>
      <c r="N31" s="195">
        <f>IF(D$32=1, IF(AND('Small Signal'!$B$62&gt;=1,FCCM=0),V31+0,S31+0), 0)</f>
        <v>9.1386726096960693</v>
      </c>
      <c r="O31" s="195">
        <f>IF(D$32=1, IF(AND('Small Signal'!$B$62&gt;=1,FCCM=0),W31,T31), 0)</f>
        <v>-0.12436266521842587</v>
      </c>
      <c r="P31" s="195">
        <f>IF(AND('Small Signal'!$B$62&gt;=1,FCCM=0),AF31+0,AC31+0)</f>
        <v>62.096573976941002</v>
      </c>
      <c r="Q31" s="195">
        <f>IF(AND('Small Signal'!$B$62&gt;=1,FCCM=0),AG31,AD31)</f>
        <v>175.15029725325297</v>
      </c>
      <c r="R31" s="195" t="str">
        <f>IMDIV(IMSUM('Small Signal'!$B$2*'Small Signal'!$B$39*'Small Signal'!$B$63,IMPRODUCT(M31,'Small Signal'!$B$2*'Small Signal'!$B$39*'Small Signal'!$B$63*'Small Signal'!$B$14*'Small Signal'!$B$15)),IMSUM(IMPRODUCT('Small Signal'!$B$12*'Small Signal'!$B$14*('Small Signal'!$B$15+'Small Signal'!$B$39),IMPOWER(M31,2)),IMSUM(IMPRODUCT(M31,('Small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2.61461162028722-0.00526949282507533i</v>
      </c>
      <c r="S31" s="195">
        <f t="shared" si="22"/>
        <v>9.1386726096960693</v>
      </c>
      <c r="T31" s="195">
        <f t="shared" si="23"/>
        <v>-0.12436266521842587</v>
      </c>
      <c r="U31" s="195" t="str">
        <f>IMDIV(IMSUM('Small Signal'!$B$75,IMPRODUCT(M31,'Small Signal'!$B$76)),IMSUM(IMPRODUCT('Small Signal'!$B$79,IMPOWER(M31,2)),IMSUM(IMPRODUCT(M31,'Small Signal'!$B$78),'Small Signal'!$B$77)))</f>
        <v>3.06204463391737-0.00473590917970959i</v>
      </c>
      <c r="V31" s="195">
        <f t="shared" si="3"/>
        <v>9.7202407269556499</v>
      </c>
      <c r="W31" s="195">
        <f t="shared" si="4"/>
        <v>-8.8616406431044625E-2</v>
      </c>
      <c r="X31" s="195" t="str">
        <f>IMPRODUCT(IMDIV(IMSUM(IMPRODUCT(M31,'Small Signal'!$B$58*'Small Signal'!$B$6*'Small Signal'!$B$51*'Small Signal'!$B$7*'Small Signal'!$B$8),'Small Signal'!$B$58*'Small Signal'!$B$6*'Small Signal'!$B$51),IMSUM(IMSUM(IMPRODUCT(M31,('Small Signal'!$B$5+'Small Signal'!$B$6)*('Small Signal'!$B$57*'Small Signal'!$B$58)+'Small Signal'!$B$5*'Small Signal'!$B$58*('Small Signal'!$B$8+'Small Signal'!$B$9)+'Small Signal'!$B$6*'Small Signal'!$B$58*('Small Signal'!$B$8+'Small Signal'!$B$9)+'Small Signal'!$B$7*'Small Signal'!$B$8*('Small Signal'!$B$5+'Small Signal'!$B$6)),'Small Signal'!$B$6+'Small Signal'!$B$5),IMPRODUCT(IMPOWER(M31,2),'Small Signal'!$B$57*'Small Signal'!$B$58*'Small Signal'!$B$8*'Small Signal'!$B$7*('Small Signal'!$B$5+'Small Signal'!$B$6)+('Small Signal'!$B$5+'Small Signal'!$B$6)*('Small Signal'!$B$9*'Small Signal'!$B$8*'Small Signal'!$B$58*'Small Signal'!$B$7)))),-1)</f>
        <v>-443.011608290175+36.6356194570097i</v>
      </c>
      <c r="Y31" s="195">
        <f t="shared" si="5"/>
        <v>52.957901367244894</v>
      </c>
      <c r="Z31" s="195">
        <f t="shared" si="6"/>
        <v>175.2746599184714</v>
      </c>
      <c r="AA31" s="195" t="str">
        <f t="shared" si="7"/>
        <v>1.00000000105891+0.0000362611569120778i</v>
      </c>
      <c r="AB31" s="195" t="str">
        <f t="shared" si="8"/>
        <v>-1268.44338946202+107.622352252483i</v>
      </c>
      <c r="AC31" s="192">
        <f t="shared" si="24"/>
        <v>62.096573976941002</v>
      </c>
      <c r="AD31" s="195">
        <f t="shared" si="25"/>
        <v>175.15029725325297</v>
      </c>
      <c r="AE31" s="195" t="str">
        <f t="shared" si="9"/>
        <v>-1356.34781496154+114.277964710995i</v>
      </c>
      <c r="AF31" s="192">
        <f t="shared" si="10"/>
        <v>62.678142079292527</v>
      </c>
      <c r="AG31" s="195">
        <f t="shared" si="11"/>
        <v>175.18396590079212</v>
      </c>
      <c r="AI31" s="195" t="str">
        <f t="shared" si="12"/>
        <v>0.002-85.9257772561541i</v>
      </c>
      <c r="AJ31" s="195">
        <f t="shared" si="13"/>
        <v>0.22500000000000001</v>
      </c>
      <c r="AK31" s="195" t="str">
        <f t="shared" si="14"/>
        <v>0.0375-171851.554512309i</v>
      </c>
      <c r="AL31" s="195" t="str">
        <f t="shared" si="15"/>
        <v>0.224998441986196-0.000589461745642708i</v>
      </c>
      <c r="AM31" s="195" t="str">
        <f t="shared" si="16"/>
        <v>0.898502495784927-7.05150133425352E-06i</v>
      </c>
      <c r="AN31" s="195" t="str">
        <f t="shared" si="17"/>
        <v>0.006+0.0000801593575523634i</v>
      </c>
      <c r="AO31" s="195" t="str">
        <f t="shared" si="26"/>
        <v>2.86373354962768-0.00621585218010157i</v>
      </c>
      <c r="AP31" s="195">
        <f t="shared" si="27"/>
        <v>9.1386726096960693</v>
      </c>
      <c r="AQ31" s="195">
        <f t="shared" si="28"/>
        <v>-0.12436266521842587</v>
      </c>
      <c r="AS31" s="195" t="str">
        <f t="shared" si="18"/>
        <v>0.921951219452407-7.42435796179922E-06i</v>
      </c>
      <c r="AT31" s="195" t="str">
        <f t="shared" si="29"/>
        <v>2.87870727643638-0.00627477703946188i</v>
      </c>
      <c r="AU31" s="195">
        <f t="shared" si="30"/>
        <v>9.183970745164256</v>
      </c>
      <c r="AV31" s="195">
        <f t="shared" si="31"/>
        <v>-0.12488858291096458</v>
      </c>
    </row>
    <row r="32" spans="1:48" x14ac:dyDescent="0.2">
      <c r="A32" s="173" t="s">
        <v>270</v>
      </c>
      <c r="B32" s="172"/>
      <c r="C32" s="186" t="s">
        <v>273</v>
      </c>
      <c r="D32" s="195">
        <f>VLOOKUP(C32,B35:C36,2,FALSE)</f>
        <v>1</v>
      </c>
      <c r="F32" s="195">
        <v>30</v>
      </c>
      <c r="G32" s="210">
        <f t="shared" si="0"/>
        <v>168.58154209544276</v>
      </c>
      <c r="H32" s="210">
        <f t="shared" si="1"/>
        <v>168.57881372500071</v>
      </c>
      <c r="I32" s="196">
        <f t="shared" si="2"/>
        <v>1</v>
      </c>
      <c r="J32" s="195">
        <f t="shared" si="19"/>
        <v>1</v>
      </c>
      <c r="K32" s="195">
        <f t="shared" si="20"/>
        <v>1</v>
      </c>
      <c r="L32" s="195">
        <f>10^('Small Signal'!F32/30)</f>
        <v>10</v>
      </c>
      <c r="M32" s="195" t="str">
        <f t="shared" si="21"/>
        <v>62.8318530717959i</v>
      </c>
      <c r="N32" s="195">
        <f>IF(D$32=1, IF(AND('Small Signal'!$B$62&gt;=1,FCCM=0),V32+0,S32+0), 0)</f>
        <v>9.1386694135525524</v>
      </c>
      <c r="O32" s="195">
        <f>IF(D$32=1, IF(AND('Small Signal'!$B$62&gt;=1,FCCM=0),W32,T32), 0)</f>
        <v>-0.13428368512321665</v>
      </c>
      <c r="P32" s="195">
        <f>IF(AND('Small Signal'!$B$62&gt;=1,FCCM=0),AF32+0,AC32+0)</f>
        <v>62.091536958386413</v>
      </c>
      <c r="Q32" s="195">
        <f>IF(AND('Small Signal'!$B$62&gt;=1,FCCM=0),AG32,AD32)</f>
        <v>174.76541451729736</v>
      </c>
      <c r="R32" s="195" t="str">
        <f>IMDIV(IMSUM('Small Signal'!$B$2*'Small Signal'!$B$39*'Small Signal'!$B$63,IMPRODUCT(M32,'Small Signal'!$B$2*'Small Signal'!$B$39*'Small Signal'!$B$63*'Small Signal'!$B$14*'Small Signal'!$B$15)),IMSUM(IMPRODUCT('Small Signal'!$B$12*'Small Signal'!$B$14*('Small Signal'!$B$15+'Small Signal'!$B$39),IMPOWER(M32,2)),IMSUM(IMPRODUCT(M32,('Small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2.61460994676191-0.00568986402350792i</v>
      </c>
      <c r="S32" s="195">
        <f t="shared" si="22"/>
        <v>9.1386694135525524</v>
      </c>
      <c r="T32" s="195">
        <f t="shared" si="23"/>
        <v>-0.13428368512321665</v>
      </c>
      <c r="U32" s="195" t="str">
        <f>IMDIV(IMSUM('Small Signal'!$B$75,IMPRODUCT(M32,'Small Signal'!$B$76)),IMSUM(IMPRODUCT('Small Signal'!$B$79,IMPOWER(M32,2)),IMSUM(IMPRODUCT(M32,'Small Signal'!$B$78),'Small Signal'!$B$77)))</f>
        <v>3.06204367921876-0.0051137159506511i</v>
      </c>
      <c r="V32" s="195">
        <f t="shared" si="3"/>
        <v>9.7202397424874611</v>
      </c>
      <c r="W32" s="195">
        <f t="shared" si="4"/>
        <v>-9.5685790245803135E-2</v>
      </c>
      <c r="X32" s="195" t="str">
        <f>IMPRODUCT(IMDIV(IMSUM(IMPRODUCT(M32,'Small Signal'!$B$58*'Small Signal'!$B$6*'Small Signal'!$B$51*'Small Signal'!$B$7*'Small Signal'!$B$8),'Small Signal'!$B$58*'Small Signal'!$B$6*'Small Signal'!$B$51),IMSUM(IMSUM(IMPRODUCT(M32,('Small Signal'!$B$5+'Small Signal'!$B$6)*('Small Signal'!$B$57*'Small Signal'!$B$58)+'Small Signal'!$B$5*'Small Signal'!$B$58*('Small Signal'!$B$8+'Small Signal'!$B$9)+'Small Signal'!$B$6*'Small Signal'!$B$58*('Small Signal'!$B$8+'Small Signal'!$B$9)+'Small Signal'!$B$7*'Small Signal'!$B$8*('Small Signal'!$B$5+'Small Signal'!$B$6)),'Small Signal'!$B$6+'Small Signal'!$B$5),IMPRODUCT(IMPOWER(M32,2),'Small Signal'!$B$57*'Small Signal'!$B$58*'Small Signal'!$B$8*'Small Signal'!$B$7*('Small Signal'!$B$5+'Small Signal'!$B$6)+('Small Signal'!$B$5+'Small Signal'!$B$6)*('Small Signal'!$B$9*'Small Signal'!$B$8*'Small Signal'!$B$58*'Small Signal'!$B$7)))),-1)</f>
        <v>-442.505729593692+39.5123975571493i</v>
      </c>
      <c r="Y32" s="195">
        <f t="shared" si="5"/>
        <v>52.952867544833836</v>
      </c>
      <c r="Z32" s="195">
        <f t="shared" si="6"/>
        <v>174.89969820242058</v>
      </c>
      <c r="AA32" s="195" t="str">
        <f t="shared" si="7"/>
        <v>1.0000000012346+0.0000391538965853896i</v>
      </c>
      <c r="AB32" s="195" t="str">
        <f t="shared" si="8"/>
        <v>-1266.95689433765+116.073260280121i</v>
      </c>
      <c r="AC32" s="192">
        <f t="shared" si="24"/>
        <v>62.091536958386413</v>
      </c>
      <c r="AD32" s="195">
        <f t="shared" si="25"/>
        <v>174.76541451729736</v>
      </c>
      <c r="AE32" s="195" t="str">
        <f t="shared" si="9"/>
        <v>-1354.76981714281+123.251535798326i</v>
      </c>
      <c r="AF32" s="192">
        <f t="shared" si="10"/>
        <v>62.673107269939827</v>
      </c>
      <c r="AG32" s="195">
        <f t="shared" si="11"/>
        <v>174.8017690591528</v>
      </c>
      <c r="AI32" s="195" t="str">
        <f t="shared" si="12"/>
        <v>0.002-79.5774715459475i</v>
      </c>
      <c r="AJ32" s="195">
        <f t="shared" si="13"/>
        <v>0.22500000000000001</v>
      </c>
      <c r="AK32" s="195" t="str">
        <f t="shared" si="14"/>
        <v>0.0375-159154.943091895i</v>
      </c>
      <c r="AL32" s="195" t="str">
        <f t="shared" si="15"/>
        <v>0.224998183491375-0.00063648541435151i</v>
      </c>
      <c r="AM32" s="195" t="str">
        <f t="shared" si="16"/>
        <v>0.898502495775744-7.61403599776986E-06i</v>
      </c>
      <c r="AN32" s="195" t="str">
        <f t="shared" si="17"/>
        <v>0.006+0.0000865540833131882i</v>
      </c>
      <c r="AO32" s="195" t="str">
        <f t="shared" si="26"/>
        <v>2.8637313766279-0.00671171785824488i</v>
      </c>
      <c r="AP32" s="195">
        <f t="shared" si="27"/>
        <v>9.1386694135525524</v>
      </c>
      <c r="AQ32" s="195">
        <f t="shared" si="28"/>
        <v>-0.13428368512321665</v>
      </c>
      <c r="AS32" s="195" t="str">
        <f t="shared" si="18"/>
        <v>0.921951219442488-8.01663732329454E-06i</v>
      </c>
      <c r="AT32" s="195" t="str">
        <f t="shared" si="29"/>
        <v>2.87870507108054-0.00677534335701752i</v>
      </c>
      <c r="AU32" s="195">
        <f t="shared" si="30"/>
        <v>9.1839675144481419</v>
      </c>
      <c r="AV32" s="195">
        <f t="shared" si="31"/>
        <v>-0.13485155746117586</v>
      </c>
    </row>
    <row r="33" spans="1:48" x14ac:dyDescent="0.2">
      <c r="A33" s="173" t="s">
        <v>271</v>
      </c>
      <c r="B33" s="172"/>
      <c r="C33" s="186" t="s">
        <v>273</v>
      </c>
      <c r="D33" s="195">
        <f>VLOOKUP(C33,B35:C36,2,FALSE)</f>
        <v>1</v>
      </c>
      <c r="F33" s="195">
        <v>31</v>
      </c>
      <c r="G33" s="210">
        <f t="shared" si="0"/>
        <v>168.5817597516357</v>
      </c>
      <c r="H33" s="210">
        <f t="shared" si="1"/>
        <v>168.57881372500071</v>
      </c>
      <c r="I33" s="196">
        <f t="shared" si="2"/>
        <v>1</v>
      </c>
      <c r="J33" s="195">
        <f t="shared" si="19"/>
        <v>1</v>
      </c>
      <c r="K33" s="195">
        <f t="shared" si="20"/>
        <v>1</v>
      </c>
      <c r="L33" s="195">
        <f>10^('Small Signal'!F33/30)</f>
        <v>10.797751623277103</v>
      </c>
      <c r="M33" s="195" t="str">
        <f t="shared" si="21"/>
        <v>67.8442743499492i</v>
      </c>
      <c r="N33" s="195">
        <f>IF(D$32=1, IF(AND('Small Signal'!$B$62&gt;=1,FCCM=0),V33+0,S33+0), 0)</f>
        <v>9.1386656871257408</v>
      </c>
      <c r="O33" s="195">
        <f>IF(D$32=1, IF(AND('Small Signal'!$B$62&gt;=1,FCCM=0),W33,T33), 0)</f>
        <v>-0.1449961477415514</v>
      </c>
      <c r="P33" s="195">
        <f>IF(AND('Small Signal'!$B$62&gt;=1,FCCM=0),AF33+0,AC33+0)</f>
        <v>62.08567158664713</v>
      </c>
      <c r="Q33" s="195">
        <f>IF(AND('Small Signal'!$B$62&gt;=1,FCCM=0),AG33,AD33)</f>
        <v>174.35034255332138</v>
      </c>
      <c r="R33" s="195" t="str">
        <f>IMDIV(IMSUM('Small Signal'!$B$2*'Small Signal'!$B$39*'Small Signal'!$B$63,IMPRODUCT(M33,'Small Signal'!$B$2*'Small Signal'!$B$39*'Small Signal'!$B$63*'Small Signal'!$B$14*'Small Signal'!$B$15)),IMSUM(IMPRODUCT('Small Signal'!$B$12*'Small Signal'!$B$14*('Small Signal'!$B$15+'Small Signal'!$B$39),IMPOWER(M33,2)),IMSUM(IMPRODUCT(M33,('Small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2.6146079955772-0.00614376951000439i</v>
      </c>
      <c r="S33" s="195">
        <f t="shared" si="22"/>
        <v>9.1386656871257408</v>
      </c>
      <c r="T33" s="195">
        <f t="shared" si="23"/>
        <v>-0.1449961477415514</v>
      </c>
      <c r="U33" s="195" t="str">
        <f>IMDIV(IMSUM('Small Signal'!$B$75,IMPRODUCT(M33,'Small Signal'!$B$76)),IMSUM(IMPRODUCT('Small Signal'!$B$79,IMPOWER(M33,2)),IMSUM(IMPRODUCT(M33,'Small Signal'!$B$78),'Small Signal'!$B$77)))</f>
        <v>3.06204256612237-0.00552166201962597i</v>
      </c>
      <c r="V33" s="195">
        <f t="shared" si="3"/>
        <v>9.7202385946819732</v>
      </c>
      <c r="W33" s="195">
        <f t="shared" si="4"/>
        <v>-0.10331913416443671</v>
      </c>
      <c r="X33" s="195" t="str">
        <f>IMPRODUCT(IMDIV(IMSUM(IMPRODUCT(M33,'Small Signal'!$B$58*'Small Signal'!$B$6*'Small Signal'!$B$51*'Small Signal'!$B$7*'Small Signal'!$B$8),'Small Signal'!$B$58*'Small Signal'!$B$6*'Small Signal'!$B$51),IMSUM(IMSUM(IMPRODUCT(M33,('Small Signal'!$B$5+'Small Signal'!$B$6)*('Small Signal'!$B$57*'Small Signal'!$B$58)+'Small Signal'!$B$5*'Small Signal'!$B$58*('Small Signal'!$B$8+'Small Signal'!$B$9)+'Small Signal'!$B$6*'Small Signal'!$B$58*('Small Signal'!$B$8+'Small Signal'!$B$9)+'Small Signal'!$B$7*'Small Signal'!$B$8*('Small Signal'!$B$5+'Small Signal'!$B$6)),'Small Signal'!$B$6+'Small Signal'!$B$5),IMPRODUCT(IMPOWER(M33,2),'Small Signal'!$B$57*'Small Signal'!$B$58*'Small Signal'!$B$8*'Small Signal'!$B$7*('Small Signal'!$B$5+'Small Signal'!$B$6)+('Small Signal'!$B$5+'Small Signal'!$B$6)*('Small Signal'!$B$9*'Small Signal'!$B$8*'Small Signal'!$B$58*'Small Signal'!$B$7)))),-1)</f>
        <v>-441.917396508362+42.6069480208487i</v>
      </c>
      <c r="Y33" s="195">
        <f t="shared" si="5"/>
        <v>52.947005899521415</v>
      </c>
      <c r="Z33" s="195">
        <f t="shared" si="6"/>
        <v>174.49533870106291</v>
      </c>
      <c r="AA33" s="195" t="str">
        <f t="shared" si="7"/>
        <v>1.00000000143944+0.0000422774050342772i</v>
      </c>
      <c r="AB33" s="195" t="str">
        <f t="shared" si="8"/>
        <v>-1265.22811181773+125.163893057504i</v>
      </c>
      <c r="AC33" s="192">
        <f t="shared" si="24"/>
        <v>62.08567158664713</v>
      </c>
      <c r="AD33" s="195">
        <f t="shared" si="25"/>
        <v>174.35034255332138</v>
      </c>
      <c r="AE33" s="195" t="str">
        <f t="shared" si="9"/>
        <v>-1352.93461765192+132.904406956514i</v>
      </c>
      <c r="AF33" s="192">
        <f t="shared" si="10"/>
        <v>62.667244473938069</v>
      </c>
      <c r="AG33" s="195">
        <f t="shared" si="11"/>
        <v>174.38959725002618</v>
      </c>
      <c r="AI33" s="195" t="str">
        <f t="shared" si="12"/>
        <v>0.002-73.6981867358385i</v>
      </c>
      <c r="AJ33" s="195">
        <f t="shared" si="13"/>
        <v>0.22500000000000001</v>
      </c>
      <c r="AK33" s="195" t="str">
        <f t="shared" si="14"/>
        <v>0.0375-147396.373471677i</v>
      </c>
      <c r="AL33" s="195" t="str">
        <f t="shared" si="15"/>
        <v>0.224997882109296-0.000687260212848571i</v>
      </c>
      <c r="AM33" s="195" t="str">
        <f t="shared" si="16"/>
        <v>0.898502495765039-8.22144695536296E-06i</v>
      </c>
      <c r="AN33" s="195" t="str">
        <f t="shared" si="17"/>
        <v>0.006+0.0000934589493596239i</v>
      </c>
      <c r="AO33" s="195" t="str">
        <f t="shared" si="26"/>
        <v>2.86372884310019-0.00724714002265389i</v>
      </c>
      <c r="AP33" s="195">
        <f t="shared" si="27"/>
        <v>9.1386656871257408</v>
      </c>
      <c r="AQ33" s="195">
        <f t="shared" si="28"/>
        <v>-0.1449961477415514</v>
      </c>
      <c r="AS33" s="195" t="str">
        <f t="shared" si="18"/>
        <v>0.921951219430923-8.65616586697409E-06i</v>
      </c>
      <c r="AT33" s="195" t="str">
        <f t="shared" si="29"/>
        <v>2.87870249982851-0.00731584112900948i</v>
      </c>
      <c r="AU33" s="195">
        <f t="shared" si="30"/>
        <v>9.1839637477126193</v>
      </c>
      <c r="AV33" s="195">
        <f t="shared" si="31"/>
        <v>-0.14560932152793796</v>
      </c>
    </row>
    <row r="34" spans="1:48" x14ac:dyDescent="0.2">
      <c r="A34" s="195"/>
      <c r="F34" s="195">
        <v>32</v>
      </c>
      <c r="G34" s="210">
        <f t="shared" si="0"/>
        <v>168.58199477138623</v>
      </c>
      <c r="H34" s="210">
        <f t="shared" si="1"/>
        <v>168.57881372500071</v>
      </c>
      <c r="I34" s="196">
        <f t="shared" si="2"/>
        <v>1</v>
      </c>
      <c r="J34" s="195">
        <f t="shared" si="19"/>
        <v>1</v>
      </c>
      <c r="K34" s="195">
        <f t="shared" si="20"/>
        <v>1</v>
      </c>
      <c r="L34" s="195">
        <f>10^('Small Signal'!F34/30)</f>
        <v>11.659144011798322</v>
      </c>
      <c r="M34" s="195" t="str">
        <f t="shared" si="21"/>
        <v>73.2565623492221i</v>
      </c>
      <c r="N34" s="195">
        <f>IF(D$32=1, IF(AND('Small Signal'!$B$62&gt;=1,FCCM=0),V34+0,S34+0), 0)</f>
        <v>9.1386613424351157</v>
      </c>
      <c r="O34" s="195">
        <f>IF(D$32=1, IF(AND('Small Signal'!$B$62&gt;=1,FCCM=0),W34,T34), 0)</f>
        <v>-0.15656318840572014</v>
      </c>
      <c r="P34" s="195">
        <f>IF(AND('Small Signal'!$B$62&gt;=1,FCCM=0),AF34+0,AC34+0)</f>
        <v>62.078843043940289</v>
      </c>
      <c r="Q34" s="195">
        <f>IF(AND('Small Signal'!$B$62&gt;=1,FCCM=0),AG34,AD34)</f>
        <v>173.90280456035137</v>
      </c>
      <c r="R34" s="195" t="str">
        <f>IMDIV(IMSUM('Small Signal'!$B$2*'Small Signal'!$B$39*'Small Signal'!$B$63,IMPRODUCT(M34,'Small Signal'!$B$2*'Small Signal'!$B$39*'Small Signal'!$B$63*'Small Signal'!$B$14*'Small Signal'!$B$15)),IMSUM(IMPRODUCT('Small Signal'!$B$12*'Small Signal'!$B$14*('Small Signal'!$B$15+'Small Signal'!$B$39),IMPOWER(M34,2)),IMSUM(IMPRODUCT(M34,('Small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2.61460572066631-0.00663388425674277i</v>
      </c>
      <c r="S34" s="195">
        <f t="shared" si="22"/>
        <v>9.1386613424351157</v>
      </c>
      <c r="T34" s="195">
        <f t="shared" si="23"/>
        <v>-0.15656318840572014</v>
      </c>
      <c r="U34" s="195" t="str">
        <f>IMDIV(IMSUM('Small Signal'!$B$75,IMPRODUCT(M34,'Small Signal'!$B$76)),IMSUM(IMPRODUCT('Small Signal'!$B$79,IMPOWER(M34,2)),IMSUM(IMPRODUCT(M34,'Small Signal'!$B$78),'Small Signal'!$B$77)))</f>
        <v>3.06204126834792-0.00596215167675208i</v>
      </c>
      <c r="V34" s="195">
        <f t="shared" si="3"/>
        <v>9.7202372564393045</v>
      </c>
      <c r="W34" s="195">
        <f t="shared" si="4"/>
        <v>-0.11156142790125054</v>
      </c>
      <c r="X34" s="195" t="str">
        <f>IMPRODUCT(IMDIV(IMSUM(IMPRODUCT(M34,'Small Signal'!$B$58*'Small Signal'!$B$6*'Small Signal'!$B$51*'Small Signal'!$B$7*'Small Signal'!$B$8),'Small Signal'!$B$58*'Small Signal'!$B$6*'Small Signal'!$B$51),IMSUM(IMSUM(IMPRODUCT(M34,('Small Signal'!$B$5+'Small Signal'!$B$6)*('Small Signal'!$B$57*'Small Signal'!$B$58)+'Small Signal'!$B$5*'Small Signal'!$B$58*('Small Signal'!$B$8+'Small Signal'!$B$9)+'Small Signal'!$B$6*'Small Signal'!$B$58*('Small Signal'!$B$8+'Small Signal'!$B$9)+'Small Signal'!$B$7*'Small Signal'!$B$8*('Small Signal'!$B$5+'Small Signal'!$B$6)),'Small Signal'!$B$6+'Small Signal'!$B$5),IMPRODUCT(IMPOWER(M34,2),'Small Signal'!$B$57*'Small Signal'!$B$58*'Small Signal'!$B$8*'Small Signal'!$B$7*('Small Signal'!$B$5+'Small Signal'!$B$6)+('Small Signal'!$B$5+'Small Signal'!$B$6)*('Small Signal'!$B$9*'Small Signal'!$B$8*'Small Signal'!$B$58*'Small Signal'!$B$7)))),-1)</f>
        <v>-441.233451670738+45.933675056158i</v>
      </c>
      <c r="Y34" s="195">
        <f t="shared" si="5"/>
        <v>52.940181701505153</v>
      </c>
      <c r="Z34" s="195">
        <f t="shared" si="6"/>
        <v>174.05936774875707</v>
      </c>
      <c r="AA34" s="195" t="str">
        <f t="shared" si="7"/>
        <v>1.00000000167826+0.0000456500918749011i</v>
      </c>
      <c r="AB34" s="195" t="str">
        <f t="shared" si="8"/>
        <v>-1263.2183797707+134.936561561526i</v>
      </c>
      <c r="AC34" s="192">
        <f t="shared" si="24"/>
        <v>62.078843043940289</v>
      </c>
      <c r="AD34" s="195">
        <f t="shared" si="25"/>
        <v>173.90280456035137</v>
      </c>
      <c r="AE34" s="195" t="str">
        <f t="shared" si="9"/>
        <v>-1350.80117445364+143.281509392557i</v>
      </c>
      <c r="AF34" s="192">
        <f t="shared" si="10"/>
        <v>62.660418934316866</v>
      </c>
      <c r="AG34" s="195">
        <f t="shared" si="11"/>
        <v>173.94519076326318</v>
      </c>
      <c r="AI34" s="195" t="str">
        <f t="shared" si="12"/>
        <v>0.002-68.2532709651929i</v>
      </c>
      <c r="AJ34" s="195">
        <f t="shared" si="13"/>
        <v>0.22500000000000001</v>
      </c>
      <c r="AK34" s="195" t="str">
        <f t="shared" si="14"/>
        <v>0.0375-136506.541930386i</v>
      </c>
      <c r="AL34" s="195" t="str">
        <f t="shared" si="15"/>
        <v>0.224997530724618-0.000742085338663814i</v>
      </c>
      <c r="AM34" s="195" t="str">
        <f t="shared" si="16"/>
        <v>0.898502495752557-8.87731422067244E-06i</v>
      </c>
      <c r="AN34" s="195" t="str">
        <f t="shared" si="17"/>
        <v>0.006+0.000100914652215765i</v>
      </c>
      <c r="AO34" s="195" t="str">
        <f t="shared" si="26"/>
        <v>2.86372588922924-0.00782527396735819i</v>
      </c>
      <c r="AP34" s="195">
        <f t="shared" si="27"/>
        <v>9.1386613424351157</v>
      </c>
      <c r="AQ34" s="195">
        <f t="shared" si="28"/>
        <v>-0.15656318840572014</v>
      </c>
      <c r="AS34" s="195" t="str">
        <f t="shared" si="18"/>
        <v>0.921951219417439-0.0000093467129040109i</v>
      </c>
      <c r="AT34" s="195" t="str">
        <f t="shared" si="29"/>
        <v>2.87869950197439-0.00789945555585586i</v>
      </c>
      <c r="AU34" s="195">
        <f t="shared" si="30"/>
        <v>9.183959356025623</v>
      </c>
      <c r="AV34" s="195">
        <f t="shared" si="31"/>
        <v>-0.15722527740017156</v>
      </c>
    </row>
    <row r="35" spans="1:48" x14ac:dyDescent="0.2">
      <c r="A35" s="195"/>
      <c r="B35" s="197" t="s">
        <v>273</v>
      </c>
      <c r="C35" s="195">
        <v>1</v>
      </c>
      <c r="F35" s="195">
        <v>33</v>
      </c>
      <c r="G35" s="210">
        <f t="shared" si="0"/>
        <v>168.58224853987491</v>
      </c>
      <c r="H35" s="210">
        <f t="shared" si="1"/>
        <v>168.57881372500071</v>
      </c>
      <c r="I35" s="196">
        <f t="shared" si="2"/>
        <v>1</v>
      </c>
      <c r="J35" s="195">
        <f t="shared" si="19"/>
        <v>1</v>
      </c>
      <c r="K35" s="195">
        <f t="shared" si="20"/>
        <v>1</v>
      </c>
      <c r="L35" s="195">
        <f>10^('Small Signal'!F35/30)</f>
        <v>12.58925411794168</v>
      </c>
      <c r="M35" s="195" t="str">
        <f t="shared" si="21"/>
        <v>79.1006165022013i</v>
      </c>
      <c r="N35" s="195">
        <f>IF(D$32=1, IF(AND('Small Signal'!$B$62&gt;=1,FCCM=0),V35+0,S35+0), 0)</f>
        <v>9.1386562769032729</v>
      </c>
      <c r="O35" s="195">
        <f>IF(D$32=1, IF(AND('Small Signal'!$B$62&gt;=1,FCCM=0),W35,T35), 0)</f>
        <v>-0.16905297852564785</v>
      </c>
      <c r="P35" s="195">
        <f>IF(AND('Small Signal'!$B$62&gt;=1,FCCM=0),AF35+0,AC35+0)</f>
        <v>62.070895069334043</v>
      </c>
      <c r="Q35" s="195">
        <f>IF(AND('Small Signal'!$B$62&gt;=1,FCCM=0),AG35,AD35)</f>
        <v>173.42037535515445</v>
      </c>
      <c r="R35" s="195" t="str">
        <f>IMDIV(IMSUM('Small Signal'!$B$2*'Small Signal'!$B$39*'Small Signal'!$B$63,IMPRODUCT(M35,'Small Signal'!$B$2*'Small Signal'!$B$39*'Small Signal'!$B$63*'Small Signal'!$B$14*'Small Signal'!$B$15)),IMSUM(IMPRODUCT('Small Signal'!$B$12*'Small Signal'!$B$14*('Small Signal'!$B$15+'Small Signal'!$B$39),IMPOWER(M35,2)),IMSUM(IMPRODUCT(M35,('Small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2.61460306831966-0.00716309657240554i</v>
      </c>
      <c r="S35" s="195">
        <f t="shared" si="22"/>
        <v>9.1386562769032729</v>
      </c>
      <c r="T35" s="195">
        <f t="shared" si="23"/>
        <v>-0.16905297852564785</v>
      </c>
      <c r="U35" s="195" t="str">
        <f>IMDIV(IMSUM('Small Signal'!$B$75,IMPRODUCT(M35,'Small Signal'!$B$76)),IMSUM(IMPRODUCT('Small Signal'!$B$79,IMPOWER(M35,2)),IMSUM(IMPRODUCT(M35,'Small Signal'!$B$78),'Small Signal'!$B$77)))</f>
        <v>3.06203975525489-0.00643778099477331i</v>
      </c>
      <c r="V35" s="195">
        <f t="shared" si="3"/>
        <v>9.7202356961632521</v>
      </c>
      <c r="W35" s="195">
        <f t="shared" si="4"/>
        <v>-0.12046125015605104</v>
      </c>
      <c r="X35" s="195" t="str">
        <f>IMPRODUCT(IMDIV(IMSUM(IMPRODUCT(M35,'Small Signal'!$B$58*'Small Signal'!$B$6*'Small Signal'!$B$51*'Small Signal'!$B$7*'Small Signal'!$B$8),'Small Signal'!$B$58*'Small Signal'!$B$6*'Small Signal'!$B$51),IMSUM(IMSUM(IMPRODUCT(M35,('Small Signal'!$B$5+'Small Signal'!$B$6)*('Small Signal'!$B$57*'Small Signal'!$B$58)+'Small Signal'!$B$5*'Small Signal'!$B$58*('Small Signal'!$B$8+'Small Signal'!$B$9)+'Small Signal'!$B$6*'Small Signal'!$B$58*('Small Signal'!$B$8+'Small Signal'!$B$9)+'Small Signal'!$B$7*'Small Signal'!$B$8*('Small Signal'!$B$5+'Small Signal'!$B$6)),'Small Signal'!$B$6+'Small Signal'!$B$5),IMPRODUCT(IMPOWER(M35,2),'Small Signal'!$B$57*'Small Signal'!$B$58*'Small Signal'!$B$8*'Small Signal'!$B$7*('Small Signal'!$B$5+'Small Signal'!$B$6)+('Small Signal'!$B$5+'Small Signal'!$B$6)*('Small Signal'!$B$9*'Small Signal'!$B$8*'Small Signal'!$B$58*'Small Signal'!$B$7)))),-1)</f>
        <v>-440.438737957212+49.507393954291i</v>
      </c>
      <c r="Y35" s="195">
        <f t="shared" si="5"/>
        <v>52.932238792430773</v>
      </c>
      <c r="Z35" s="195">
        <f t="shared" si="6"/>
        <v>173.58942833368013</v>
      </c>
      <c r="AA35" s="195" t="str">
        <f t="shared" si="7"/>
        <v>1.00000000195671+0.0000492918353534429i</v>
      </c>
      <c r="AB35" s="195" t="str">
        <f t="shared" si="8"/>
        <v>-1260.88315989236+145.434783505777i</v>
      </c>
      <c r="AC35" s="192">
        <f t="shared" si="24"/>
        <v>62.070895069334043</v>
      </c>
      <c r="AD35" s="195">
        <f t="shared" si="25"/>
        <v>173.42037535515445</v>
      </c>
      <c r="AE35" s="195" t="str">
        <f t="shared" si="9"/>
        <v>-1348.32220761937+154.429056603688i</v>
      </c>
      <c r="AF35" s="192">
        <f t="shared" si="10"/>
        <v>62.652474461046239</v>
      </c>
      <c r="AG35" s="195">
        <f t="shared" si="11"/>
        <v>173.46614286940166</v>
      </c>
      <c r="AI35" s="195" t="str">
        <f t="shared" si="12"/>
        <v>0.002-63.2106324969141i</v>
      </c>
      <c r="AJ35" s="195">
        <f t="shared" si="13"/>
        <v>0.22500000000000001</v>
      </c>
      <c r="AK35" s="195" t="str">
        <f t="shared" si="14"/>
        <v>0.0375-126421.264993829i</v>
      </c>
      <c r="AL35" s="195" t="str">
        <f t="shared" si="15"/>
        <v>0.224997121041561-0.00080128384505328i</v>
      </c>
      <c r="AM35" s="195" t="str">
        <f t="shared" si="16"/>
        <v>0.898502495738006-9.58550340350536E-06i</v>
      </c>
      <c r="AN35" s="195" t="str">
        <f t="shared" si="17"/>
        <v>0.006+0.000108965134977522i</v>
      </c>
      <c r="AO35" s="195" t="str">
        <f t="shared" si="26"/>
        <v>2.86372244527603-0.00844952661475688i</v>
      </c>
      <c r="AP35" s="195">
        <f t="shared" si="27"/>
        <v>9.1386562769032729</v>
      </c>
      <c r="AQ35" s="195">
        <f t="shared" si="28"/>
        <v>-0.16905297852564785</v>
      </c>
      <c r="AS35" s="195" t="str">
        <f t="shared" si="18"/>
        <v>0.921951219401717-0.0000100923484429867i</v>
      </c>
      <c r="AT35" s="195" t="str">
        <f t="shared" si="29"/>
        <v>2.87869600674074-0.00852962585038142i</v>
      </c>
      <c r="AU35" s="195">
        <f t="shared" si="30"/>
        <v>9.183954235700087</v>
      </c>
      <c r="AV35" s="195">
        <f t="shared" si="31"/>
        <v>-0.16976788473185095</v>
      </c>
    </row>
    <row r="36" spans="1:48" x14ac:dyDescent="0.2">
      <c r="A36" s="195"/>
      <c r="B36" s="195" t="s">
        <v>272</v>
      </c>
      <c r="C36" s="195">
        <v>0</v>
      </c>
      <c r="F36" s="195">
        <v>34</v>
      </c>
      <c r="G36" s="210">
        <f t="shared" si="0"/>
        <v>168.58252255278512</v>
      </c>
      <c r="H36" s="210">
        <f t="shared" si="1"/>
        <v>168.57881372500071</v>
      </c>
      <c r="I36" s="196">
        <f t="shared" si="2"/>
        <v>1</v>
      </c>
      <c r="J36" s="195">
        <f t="shared" si="19"/>
        <v>1</v>
      </c>
      <c r="K36" s="195">
        <f t="shared" si="20"/>
        <v>1</v>
      </c>
      <c r="L36" s="195">
        <f>10^('Small Signal'!F36/30)</f>
        <v>13.593563908785256</v>
      </c>
      <c r="M36" s="195" t="str">
        <f t="shared" si="21"/>
        <v>85.4108810238862i</v>
      </c>
      <c r="N36" s="195">
        <f>IF(D$32=1, IF(AND('Small Signal'!$B$62&gt;=1,FCCM=0),V36+0,S36+0), 0)</f>
        <v>9.1386503709342009</v>
      </c>
      <c r="O36" s="195">
        <f>IF(D$32=1, IF(AND('Small Signal'!$B$62&gt;=1,FCCM=0),W36,T36), 0)</f>
        <v>-0.18253912719943041</v>
      </c>
      <c r="P36" s="195">
        <f>IF(AND('Small Signal'!$B$62&gt;=1,FCCM=0),AF36+0,AC36+0)</f>
        <v>62.061646724417798</v>
      </c>
      <c r="Q36" s="195">
        <f>IF(AND('Small Signal'!$B$62&gt;=1,FCCM=0),AG36,AD36)</f>
        <v>172.90047777258155</v>
      </c>
      <c r="R36" s="195" t="str">
        <f>IMDIV(IMSUM('Small Signal'!$B$2*'Small Signal'!$B$39*'Small Signal'!$B$63,IMPRODUCT(M36,'Small Signal'!$B$2*'Small Signal'!$B$39*'Small Signal'!$B$63*'Small Signal'!$B$14*'Small Signal'!$B$15)),IMSUM(IMPRODUCT('Small Signal'!$B$12*'Small Signal'!$B$14*('Small Signal'!$B$15+'Small Signal'!$B$39),IMPOWER(M36,2)),IMSUM(IMPRODUCT(M36,('Small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2.6145999759169-0.00773452510564148i</v>
      </c>
      <c r="S36" s="195">
        <f t="shared" si="22"/>
        <v>9.1386503709342009</v>
      </c>
      <c r="T36" s="195">
        <f t="shared" si="23"/>
        <v>-0.18253912719943041</v>
      </c>
      <c r="U36" s="195" t="str">
        <f>IMDIV(IMSUM('Small Signal'!$B$75,IMPRODUCT(M36,'Small Signal'!$B$76)),IMSUM(IMPRODUCT('Small Signal'!$B$79,IMPOWER(M36,2)),IMSUM(IMPRODUCT(M36,'Small Signal'!$B$78),'Small Signal'!$B$77)))</f>
        <v>3.06203799111914-0.006951353123369i</v>
      </c>
      <c r="V36" s="195">
        <f t="shared" si="3"/>
        <v>9.7202338770153869</v>
      </c>
      <c r="W36" s="195">
        <f t="shared" si="4"/>
        <v>-0.13007105490629942</v>
      </c>
      <c r="X36" s="195" t="str">
        <f>IMPRODUCT(IMDIV(IMSUM(IMPRODUCT(M36,'Small Signal'!$B$58*'Small Signal'!$B$6*'Small Signal'!$B$51*'Small Signal'!$B$7*'Small Signal'!$B$8),'Small Signal'!$B$58*'Small Signal'!$B$6*'Small Signal'!$B$51),IMSUM(IMSUM(IMPRODUCT(M36,('Small Signal'!$B$5+'Small Signal'!$B$6)*('Small Signal'!$B$57*'Small Signal'!$B$58)+'Small Signal'!$B$5*'Small Signal'!$B$58*('Small Signal'!$B$8+'Small Signal'!$B$9)+'Small Signal'!$B$6*'Small Signal'!$B$58*('Small Signal'!$B$8+'Small Signal'!$B$9)+'Small Signal'!$B$7*'Small Signal'!$B$8*('Small Signal'!$B$5+'Small Signal'!$B$6)),'Small Signal'!$B$6+'Small Signal'!$B$5),IMPRODUCT(IMPOWER(M36,2),'Small Signal'!$B$57*'Small Signal'!$B$58*'Small Signal'!$B$8*'Small Signal'!$B$7*('Small Signal'!$B$5+'Small Signal'!$B$6)+('Small Signal'!$B$5+'Small Signal'!$B$6)*('Small Signal'!$B$9*'Small Signal'!$B$8*'Small Signal'!$B$58*'Small Signal'!$B$7)))),-1)</f>
        <v>-439.515829850785+53.3431867017113i</v>
      </c>
      <c r="Y36" s="195">
        <f t="shared" si="5"/>
        <v>52.922996353483597</v>
      </c>
      <c r="Z36" s="195">
        <f t="shared" si="6"/>
        <v>173.08301689978097</v>
      </c>
      <c r="AA36" s="195" t="str">
        <f t="shared" si="7"/>
        <v>1.00000000228135+0.0000532240995062791i</v>
      </c>
      <c r="AB36" s="195" t="str">
        <f t="shared" si="8"/>
        <v>-1258.17124834511+156.702858965252i</v>
      </c>
      <c r="AC36" s="192">
        <f t="shared" si="24"/>
        <v>62.061646724417798</v>
      </c>
      <c r="AD36" s="195">
        <f t="shared" si="25"/>
        <v>172.90047777258155</v>
      </c>
      <c r="AE36" s="195" t="str">
        <f t="shared" si="9"/>
        <v>-1345.44336137387+166.394093984605i</v>
      </c>
      <c r="AF36" s="192">
        <f t="shared" si="10"/>
        <v>62.643230198380728</v>
      </c>
      <c r="AG36" s="195">
        <f t="shared" si="11"/>
        <v>172.94989632861441</v>
      </c>
      <c r="AI36" s="195" t="str">
        <f t="shared" si="12"/>
        <v>0.002-58.5405505722591i</v>
      </c>
      <c r="AJ36" s="195">
        <f t="shared" si="13"/>
        <v>0.22500000000000001</v>
      </c>
      <c r="AK36" s="195" t="str">
        <f t="shared" si="14"/>
        <v>0.0375-117081.101144518i</v>
      </c>
      <c r="AL36" s="195" t="str">
        <f t="shared" si="15"/>
        <v>0.224996643388085-0.00086520454077814i</v>
      </c>
      <c r="AM36" s="195" t="str">
        <f t="shared" si="16"/>
        <v>0.898502495721039-0.0000103501884933174i</v>
      </c>
      <c r="AN36" s="195" t="str">
        <f t="shared" si="17"/>
        <v>0.006+0.000117657846308415i</v>
      </c>
      <c r="AO36" s="195" t="str">
        <f t="shared" si="26"/>
        <v>2.86371842993152-0.00912357656711747i</v>
      </c>
      <c r="AP36" s="195">
        <f t="shared" si="27"/>
        <v>9.1386503709342009</v>
      </c>
      <c r="AQ36" s="195">
        <f t="shared" si="28"/>
        <v>-0.18253912719943041</v>
      </c>
      <c r="AS36" s="195" t="str">
        <f t="shared" si="18"/>
        <v>0.921951219383386-0.0000108974671780771i</v>
      </c>
      <c r="AT36" s="195" t="str">
        <f t="shared" si="29"/>
        <v>2.8786919316079-0.00921006547905046i</v>
      </c>
      <c r="AU36" s="195">
        <f t="shared" si="30"/>
        <v>9.1839482658464515</v>
      </c>
      <c r="AV36" s="195">
        <f t="shared" si="31"/>
        <v>-0.18331106384838564</v>
      </c>
    </row>
    <row r="37" spans="1:48" x14ac:dyDescent="0.2">
      <c r="A37" s="195"/>
      <c r="F37" s="195">
        <v>35</v>
      </c>
      <c r="G37" s="210">
        <f t="shared" si="0"/>
        <v>168.58281842511875</v>
      </c>
      <c r="H37" s="210">
        <f t="shared" si="1"/>
        <v>168.57881372500071</v>
      </c>
      <c r="I37" s="196">
        <f t="shared" si="2"/>
        <v>1</v>
      </c>
      <c r="J37" s="195">
        <f t="shared" si="19"/>
        <v>1</v>
      </c>
      <c r="K37" s="195">
        <f t="shared" si="20"/>
        <v>1</v>
      </c>
      <c r="L37" s="195">
        <f>10^('Small Signal'!F37/30)</f>
        <v>14.677992676220699</v>
      </c>
      <c r="M37" s="195" t="str">
        <f t="shared" si="21"/>
        <v>92.2245479221195i</v>
      </c>
      <c r="N37" s="195">
        <f>IF(D$32=1, IF(AND('Small Signal'!$B$62&gt;=1,FCCM=0),V37+0,S37+0), 0)</f>
        <v>9.1386434850898244</v>
      </c>
      <c r="O37" s="195">
        <f>IF(D$32=1, IF(AND('Small Signal'!$B$62&gt;=1,FCCM=0),W37,T37), 0)</f>
        <v>-0.19710111482530454</v>
      </c>
      <c r="P37" s="195">
        <f>IF(AND('Small Signal'!$B$62&gt;=1,FCCM=0),AF37+0,AC37+0)</f>
        <v>62.050888733416826</v>
      </c>
      <c r="Q37" s="195">
        <f>IF(AND('Small Signal'!$B$62&gt;=1,FCCM=0),AG37,AD37)</f>
        <v>172.34038074334885</v>
      </c>
      <c r="R37" s="195" t="str">
        <f>IMDIV(IMSUM('Small Signal'!$B$2*'Small Signal'!$B$39*'Small Signal'!$B$63,IMPRODUCT(M37,'Small Signal'!$B$2*'Small Signal'!$B$39*'Small Signal'!$B$63*'Small Signal'!$B$14*'Small Signal'!$B$15)),IMSUM(IMPRODUCT('Small Signal'!$B$12*'Small Signal'!$B$14*('Small Signal'!$B$15+'Small Signal'!$B$39),IMPOWER(M37,2)),IMSUM(IMPRODUCT(M37,('Small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2.61459637044871-0.00835153720097058i</v>
      </c>
      <c r="S37" s="195">
        <f t="shared" si="22"/>
        <v>9.1386434850898244</v>
      </c>
      <c r="T37" s="195">
        <f t="shared" si="23"/>
        <v>-0.19710111482530454</v>
      </c>
      <c r="U37" s="195" t="str">
        <f>IMDIV(IMSUM('Small Signal'!$B$75,IMPRODUCT(M37,'Small Signal'!$B$76)),IMSUM(IMPRODUCT('Small Signal'!$B$79,IMPOWER(M37,2)),IMSUM(IMPRODUCT(M37,'Small Signal'!$B$78),'Small Signal'!$B$77)))</f>
        <v>3.06203593428953-0.00750589480222849i</v>
      </c>
      <c r="V37" s="195">
        <f t="shared" si="3"/>
        <v>9.7202317560454006</v>
      </c>
      <c r="W37" s="195">
        <f t="shared" si="4"/>
        <v>-0.14044748053316328</v>
      </c>
      <c r="X37" s="195" t="str">
        <f>IMPRODUCT(IMDIV(IMSUM(IMPRODUCT(M37,'Small Signal'!$B$58*'Small Signal'!$B$6*'Small Signal'!$B$51*'Small Signal'!$B$7*'Small Signal'!$B$8),'Small Signal'!$B$58*'Small Signal'!$B$6*'Small Signal'!$B$51),IMSUM(IMSUM(IMPRODUCT(M37,('Small Signal'!$B$5+'Small Signal'!$B$6)*('Small Signal'!$B$57*'Small Signal'!$B$58)+'Small Signal'!$B$5*'Small Signal'!$B$58*('Small Signal'!$B$8+'Small Signal'!$B$9)+'Small Signal'!$B$6*'Small Signal'!$B$58*('Small Signal'!$B$8+'Small Signal'!$B$9)+'Small Signal'!$B$7*'Small Signal'!$B$8*('Small Signal'!$B$5+'Small Signal'!$B$6)),'Small Signal'!$B$6+'Small Signal'!$B$5),IMPRODUCT(IMPOWER(M37,2),'Small Signal'!$B$57*'Small Signal'!$B$58*'Small Signal'!$B$8*'Small Signal'!$B$7*('Small Signal'!$B$5+'Small Signal'!$B$6)+('Small Signal'!$B$5+'Small Signal'!$B$6)*('Small Signal'!$B$9*'Small Signal'!$B$8*'Small Signal'!$B$58*'Small Signal'!$B$7)))),-1)</f>
        <v>-438.444741411813+57.4562064108141i</v>
      </c>
      <c r="Y37" s="195">
        <f t="shared" si="5"/>
        <v>52.912245248327011</v>
      </c>
      <c r="Z37" s="195">
        <f t="shared" si="6"/>
        <v>172.53748185817417</v>
      </c>
      <c r="AA37" s="195" t="str">
        <f t="shared" si="7"/>
        <v>1.00000000265986+0.0000574700606666199i</v>
      </c>
      <c r="AB37" s="195" t="str">
        <f t="shared" si="8"/>
        <v>-1255.02391765012+168.785295598752i</v>
      </c>
      <c r="AC37" s="192">
        <f t="shared" si="24"/>
        <v>62.050888733416826</v>
      </c>
      <c r="AD37" s="195">
        <f t="shared" si="25"/>
        <v>172.34038074334885</v>
      </c>
      <c r="AE37" s="195" t="str">
        <f t="shared" si="9"/>
        <v>-1342.1022931622+179.223888783497i</v>
      </c>
      <c r="AF37" s="192">
        <f t="shared" si="10"/>
        <v>62.632476966925267</v>
      </c>
      <c r="AG37" s="195">
        <f t="shared" si="11"/>
        <v>172.39374158572883</v>
      </c>
      <c r="AI37" s="195" t="str">
        <f t="shared" si="12"/>
        <v>0.002-54.2155002399397i</v>
      </c>
      <c r="AJ37" s="195">
        <f t="shared" si="13"/>
        <v>0.22500000000000001</v>
      </c>
      <c r="AK37" s="195" t="str">
        <f t="shared" si="14"/>
        <v>0.0375-108431.000479879i</v>
      </c>
      <c r="AL37" s="195" t="str">
        <f t="shared" si="15"/>
        <v>0.224996086487601-0.000934224040580627i</v>
      </c>
      <c r="AM37" s="195" t="str">
        <f t="shared" si="16"/>
        <v>0.898502495701256-0.0000111758764602481i</v>
      </c>
      <c r="AN37" s="195" t="str">
        <f t="shared" si="17"/>
        <v>0.006+0.000127044020096797i</v>
      </c>
      <c r="AO37" s="195" t="str">
        <f t="shared" si="26"/>
        <v>2.86371374839727-0.00985139575194049i</v>
      </c>
      <c r="AP37" s="195">
        <f t="shared" si="27"/>
        <v>9.1386434850898244</v>
      </c>
      <c r="AQ37" s="195">
        <f t="shared" si="28"/>
        <v>-0.19710111482530454</v>
      </c>
      <c r="AS37" s="195" t="str">
        <f t="shared" si="18"/>
        <v>0.921951219362016-0.0000117668143908963i</v>
      </c>
      <c r="AT37" s="195" t="str">
        <f t="shared" si="29"/>
        <v>2.87868718036592-0.00994478401208415i</v>
      </c>
      <c r="AU37" s="195">
        <f t="shared" si="30"/>
        <v>9.1839413055183279</v>
      </c>
      <c r="AV37" s="195">
        <f t="shared" si="31"/>
        <v>-0.19793463118912766</v>
      </c>
    </row>
    <row r="38" spans="1:48" x14ac:dyDescent="0.2">
      <c r="A38" s="195"/>
      <c r="F38" s="195">
        <v>36</v>
      </c>
      <c r="G38" s="210">
        <f t="shared" si="0"/>
        <v>168.58313790071452</v>
      </c>
      <c r="H38" s="210">
        <f t="shared" si="1"/>
        <v>168.57881372500071</v>
      </c>
      <c r="I38" s="196">
        <f t="shared" si="2"/>
        <v>1</v>
      </c>
      <c r="J38" s="195">
        <f t="shared" si="19"/>
        <v>1</v>
      </c>
      <c r="K38" s="195">
        <f t="shared" si="20"/>
        <v>1</v>
      </c>
      <c r="L38" s="195">
        <f>10^('Small Signal'!F38/30)</f>
        <v>15.848931924611136</v>
      </c>
      <c r="M38" s="195" t="str">
        <f t="shared" si="21"/>
        <v>99.5817762032062i</v>
      </c>
      <c r="N38" s="195">
        <f>IF(D$32=1, IF(AND('Small Signal'!$B$62&gt;=1,FCCM=0),V38+0,S38+0), 0)</f>
        <v>9.138635456798486</v>
      </c>
      <c r="O38" s="195">
        <f>IF(D$32=1, IF(AND('Small Signal'!$B$62&gt;=1,FCCM=0),W38,T38), 0)</f>
        <v>-0.21282476125833077</v>
      </c>
      <c r="P38" s="195">
        <f>IF(AND('Small Signal'!$B$62&gt;=1,FCCM=0),AF38+0,AC38+0)</f>
        <v>62.038379364155233</v>
      </c>
      <c r="Q38" s="195">
        <f>IF(AND('Small Signal'!$B$62&gt;=1,FCCM=0),AG38,AD38)</f>
        <v>171.73719961686615</v>
      </c>
      <c r="R38" s="195" t="str">
        <f>IMDIV(IMSUM('Small Signal'!$B$2*'Small Signal'!$B$39*'Small Signal'!$B$63,IMPRODUCT(M38,'Small Signal'!$B$2*'Small Signal'!$B$39*'Small Signal'!$B$63*'Small Signal'!$B$14*'Small Signal'!$B$15)),IMSUM(IMPRODUCT('Small Signal'!$B$12*'Small Signal'!$B$14*('Small Signal'!$B$15+'Small Signal'!$B$39),IMPOWER(M38,2)),IMSUM(IMPRODUCT(M38,('Small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2.61459216679326-0.00901776871398464i</v>
      </c>
      <c r="S38" s="195">
        <f t="shared" si="22"/>
        <v>9.138635456798486</v>
      </c>
      <c r="T38" s="195">
        <f t="shared" si="23"/>
        <v>-0.21282476125833077</v>
      </c>
      <c r="U38" s="195" t="str">
        <f>IMDIV(IMSUM('Small Signal'!$B$75,IMPRODUCT(M38,'Small Signal'!$B$76)),IMSUM(IMPRODUCT('Small Signal'!$B$79,IMPOWER(M38,2)),IMSUM(IMPRODUCT(M38,'Small Signal'!$B$78),'Small Signal'!$B$77)))</f>
        <v>3.06203353620449-0.00810467418976906i</v>
      </c>
      <c r="V38" s="195">
        <f t="shared" si="3"/>
        <v>9.7202292831767885</v>
      </c>
      <c r="W38" s="195">
        <f t="shared" si="4"/>
        <v>-0.15165168360169673</v>
      </c>
      <c r="X38" s="195" t="str">
        <f>IMPRODUCT(IMDIV(IMSUM(IMPRODUCT(M38,'Small Signal'!$B$58*'Small Signal'!$B$6*'Small Signal'!$B$51*'Small Signal'!$B$7*'Small Signal'!$B$8),'Small Signal'!$B$58*'Small Signal'!$B$6*'Small Signal'!$B$51),IMSUM(IMSUM(IMPRODUCT(M38,('Small Signal'!$B$5+'Small Signal'!$B$6)*('Small Signal'!$B$57*'Small Signal'!$B$58)+'Small Signal'!$B$5*'Small Signal'!$B$58*('Small Signal'!$B$8+'Small Signal'!$B$9)+'Small Signal'!$B$6*'Small Signal'!$B$58*('Small Signal'!$B$8+'Small Signal'!$B$9)+'Small Signal'!$B$7*'Small Signal'!$B$8*('Small Signal'!$B$5+'Small Signal'!$B$6)),'Small Signal'!$B$6+'Small Signal'!$B$5),IMPRODUCT(IMPOWER(M38,2),'Small Signal'!$B$57*'Small Signal'!$B$58*'Small Signal'!$B$8*'Small Signal'!$B$7*('Small Signal'!$B$5+'Small Signal'!$B$6)+('Small Signal'!$B$5+'Small Signal'!$B$6)*('Small Signal'!$B$9*'Small Signal'!$B$8*'Small Signal'!$B$58*'Small Signal'!$B$7)))),-1)</f>
        <v>-437.202613733411+61.8614189235261i</v>
      </c>
      <c r="Y38" s="195">
        <f t="shared" si="5"/>
        <v>52.899743907356751</v>
      </c>
      <c r="Z38" s="195">
        <f t="shared" si="6"/>
        <v>171.95002437812451</v>
      </c>
      <c r="AA38" s="195" t="str">
        <f t="shared" si="7"/>
        <v>1.00000000310117+0.000062054744063229i</v>
      </c>
      <c r="AB38" s="195" t="str">
        <f t="shared" si="8"/>
        <v>-1251.37399829745+181.726049247956i</v>
      </c>
      <c r="AC38" s="192">
        <f t="shared" si="24"/>
        <v>62.038379364155233</v>
      </c>
      <c r="AD38" s="195">
        <f t="shared" si="25"/>
        <v>171.73719961686615</v>
      </c>
      <c r="AE38" s="195" t="str">
        <f t="shared" si="9"/>
        <v>-1338.22769872267+192.965124080257i</v>
      </c>
      <c r="AF38" s="192">
        <f t="shared" si="10"/>
        <v>62.619973146873342</v>
      </c>
      <c r="AG38" s="195">
        <f t="shared" si="11"/>
        <v>171.79481721960479</v>
      </c>
      <c r="AI38" s="195" t="str">
        <f t="shared" si="12"/>
        <v>0.002-50.2099901270794i</v>
      </c>
      <c r="AJ38" s="195">
        <f t="shared" si="13"/>
        <v>0.22500000000000001</v>
      </c>
      <c r="AK38" s="195" t="str">
        <f t="shared" si="14"/>
        <v>0.0375-100419.980254159i</v>
      </c>
      <c r="AL38" s="195" t="str">
        <f t="shared" si="15"/>
        <v>0.224995437192819-0.00100874897815637i</v>
      </c>
      <c r="AM38" s="195" t="str">
        <f t="shared" si="16"/>
        <v>0.898502495678192-0.0000120674338187091i</v>
      </c>
      <c r="AN38" s="195" t="str">
        <f t="shared" si="17"/>
        <v>0.006+0.000137178977422784i</v>
      </c>
      <c r="AO38" s="195" t="str">
        <f t="shared" si="26"/>
        <v>2.8637082901478-0.0106372727868519i</v>
      </c>
      <c r="AP38" s="195">
        <f t="shared" si="27"/>
        <v>9.138635456798486</v>
      </c>
      <c r="AQ38" s="195">
        <f t="shared" si="28"/>
        <v>-0.21282476125833077</v>
      </c>
      <c r="AS38" s="195" t="str">
        <f t="shared" si="18"/>
        <v>0.921951219337098-0.0000127055139186668i</v>
      </c>
      <c r="AT38" s="195" t="str">
        <f t="shared" si="29"/>
        <v>2.87868164084373-0.0107381107092919i</v>
      </c>
      <c r="AU38" s="195">
        <f t="shared" si="30"/>
        <v>9.1839331903857389</v>
      </c>
      <c r="AV38" s="195">
        <f t="shared" si="31"/>
        <v>-0.21372476943983534</v>
      </c>
    </row>
    <row r="39" spans="1:48" x14ac:dyDescent="0.2">
      <c r="A39" s="198" t="s">
        <v>296</v>
      </c>
      <c r="B39" s="199">
        <f>B3/B4</f>
        <v>0.22500000000000001</v>
      </c>
      <c r="C39" s="200"/>
      <c r="F39" s="195">
        <v>37</v>
      </c>
      <c r="G39" s="210">
        <f t="shared" si="0"/>
        <v>168.58348286252618</v>
      </c>
      <c r="H39" s="210">
        <f t="shared" si="1"/>
        <v>168.57881372500071</v>
      </c>
      <c r="I39" s="196">
        <f t="shared" si="2"/>
        <v>1</v>
      </c>
      <c r="J39" s="195">
        <f t="shared" si="19"/>
        <v>1</v>
      </c>
      <c r="K39" s="195">
        <f t="shared" si="20"/>
        <v>1</v>
      </c>
      <c r="L39" s="195">
        <f>10^('Small Signal'!F39/30)</f>
        <v>17.113283041617812</v>
      </c>
      <c r="M39" s="195" t="str">
        <f t="shared" si="21"/>
        <v>107.525928564699i</v>
      </c>
      <c r="N39" s="195">
        <f>IF(D$32=1, IF(AND('Small Signal'!$B$62&gt;=1,FCCM=0),V39+0,S39+0), 0)</f>
        <v>9.1386260965166404</v>
      </c>
      <c r="O39" s="195">
        <f>IF(D$32=1, IF(AND('Small Signal'!$B$62&gt;=1,FCCM=0),W39,T39), 0)</f>
        <v>-0.22980273125553125</v>
      </c>
      <c r="P39" s="195">
        <f>IF(AND('Small Signal'!$B$62&gt;=1,FCCM=0),AF39+0,AC39+0)</f>
        <v>62.02383982238981</v>
      </c>
      <c r="Q39" s="195">
        <f>IF(AND('Small Signal'!$B$62&gt;=1,FCCM=0),AG39,AD39)</f>
        <v>171.08789942189301</v>
      </c>
      <c r="R39" s="195" t="str">
        <f>IMDIV(IMSUM('Small Signal'!$B$2*'Small Signal'!$B$39*'Small Signal'!$B$63,IMPRODUCT(M39,'Small Signal'!$B$2*'Small Signal'!$B$39*'Small Signal'!$B$63*'Small Signal'!$B$14*'Small Signal'!$B$15)),IMSUM(IMPRODUCT('Small Signal'!$B$12*'Small Signal'!$B$14*('Small Signal'!$B$15+'Small Signal'!$B$39),IMPOWER(M39,2)),IMSUM(IMPRODUCT(M39,('Small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2.61458726570693-0.00973714540095179i</v>
      </c>
      <c r="S39" s="195">
        <f t="shared" si="22"/>
        <v>9.1386260965166404</v>
      </c>
      <c r="T39" s="195">
        <f t="shared" si="23"/>
        <v>-0.22980273125553125</v>
      </c>
      <c r="U39" s="195" t="str">
        <f>IMDIV(IMSUM('Small Signal'!$B$75,IMPRODUCT(M39,'Small Signal'!$B$76)),IMSUM(IMPRODUCT('Small Signal'!$B$79,IMPOWER(M39,2)),IMSUM(IMPRODUCT(M39,'Small Signal'!$B$78),'Small Signal'!$B$77)))</f>
        <v>3.06203074024566-0.00875122011201855i</v>
      </c>
      <c r="V39" s="195">
        <f t="shared" si="3"/>
        <v>9.7202264000248881</v>
      </c>
      <c r="W39" s="195">
        <f t="shared" si="4"/>
        <v>-0.16374969926030838</v>
      </c>
      <c r="X39" s="195" t="str">
        <f>IMPRODUCT(IMDIV(IMSUM(IMPRODUCT(M39,'Small Signal'!$B$58*'Small Signal'!$B$6*'Small Signal'!$B$51*'Small Signal'!$B$7*'Small Signal'!$B$8),'Small Signal'!$B$58*'Small Signal'!$B$6*'Small Signal'!$B$51),IMSUM(IMSUM(IMPRODUCT(M39,('Small Signal'!$B$5+'Small Signal'!$B$6)*('Small Signal'!$B$57*'Small Signal'!$B$58)+'Small Signal'!$B$5*'Small Signal'!$B$58*('Small Signal'!$B$8+'Small Signal'!$B$9)+'Small Signal'!$B$6*'Small Signal'!$B$58*('Small Signal'!$B$8+'Small Signal'!$B$9)+'Small Signal'!$B$7*'Small Signal'!$B$8*('Small Signal'!$B$5+'Small Signal'!$B$6)),'Small Signal'!$B$6+'Small Signal'!$B$5),IMPRODUCT(IMPOWER(M39,2),'Small Signal'!$B$57*'Small Signal'!$B$58*'Small Signal'!$B$8*'Small Signal'!$B$7*('Small Signal'!$B$5+'Small Signal'!$B$6)+('Small Signal'!$B$5+'Small Signal'!$B$6)*('Small Signal'!$B$9*'Small Signal'!$B$8*'Small Signal'!$B$58*'Small Signal'!$B$7)))),-1)</f>
        <v>-435.76338721022+66.573268186811i</v>
      </c>
      <c r="Y39" s="195">
        <f t="shared" si="5"/>
        <v>52.885213725873164</v>
      </c>
      <c r="Z39" s="195">
        <f t="shared" si="6"/>
        <v>171.31770215314856</v>
      </c>
      <c r="AA39" s="195" t="str">
        <f t="shared" si="7"/>
        <v>1.0000000036157+0.0000670051713163126i</v>
      </c>
      <c r="AB39" s="195" t="str">
        <f t="shared" si="8"/>
        <v>-1247.14491573253+195.567540534177i</v>
      </c>
      <c r="AC39" s="192">
        <f t="shared" si="24"/>
        <v>62.02383982238981</v>
      </c>
      <c r="AD39" s="195">
        <f t="shared" si="25"/>
        <v>171.08789942189301</v>
      </c>
      <c r="AE39" s="195" t="str">
        <f t="shared" si="9"/>
        <v>-1333.73828978779+207.662854984869i</v>
      </c>
      <c r="AF39" s="192">
        <f t="shared" si="10"/>
        <v>62.605440074994007</v>
      </c>
      <c r="AG39" s="195">
        <f t="shared" si="11"/>
        <v>171.15011334038593</v>
      </c>
      <c r="AI39" s="195" t="str">
        <f t="shared" si="12"/>
        <v>0.002-46.5004121958498i</v>
      </c>
      <c r="AJ39" s="195">
        <f t="shared" si="13"/>
        <v>0.22500000000000001</v>
      </c>
      <c r="AK39" s="195" t="str">
        <f t="shared" si="14"/>
        <v>0.0375-93000.8243916995i</v>
      </c>
      <c r="AL39" s="195" t="str">
        <f t="shared" si="15"/>
        <v>0.224994680175456-0.00108921839430684i</v>
      </c>
      <c r="AM39" s="195" t="str">
        <f t="shared" si="16"/>
        <v>0.898502495651302-0.0000130301153100856i</v>
      </c>
      <c r="AN39" s="195" t="str">
        <f t="shared" si="17"/>
        <v>0.006+0.000148122452614636i</v>
      </c>
      <c r="AO39" s="195" t="str">
        <f t="shared" si="26"/>
        <v>2.86370192632157-0.0114858381993265i</v>
      </c>
      <c r="AP39" s="195">
        <f t="shared" si="27"/>
        <v>9.1386260965166404</v>
      </c>
      <c r="AQ39" s="195">
        <f t="shared" si="28"/>
        <v>-0.22980273125553125</v>
      </c>
      <c r="AS39" s="195" t="str">
        <f t="shared" si="18"/>
        <v>0.921951219308049-0.0000137190983535531i</v>
      </c>
      <c r="AT39" s="195" t="str">
        <f t="shared" si="29"/>
        <v>2.87867518226111-0.0115947199781742i</v>
      </c>
      <c r="AU39" s="195">
        <f t="shared" si="30"/>
        <v>9.1839237288547935</v>
      </c>
      <c r="AV39" s="195">
        <f t="shared" si="31"/>
        <v>-0.23077453511028148</v>
      </c>
    </row>
    <row r="40" spans="1:48" x14ac:dyDescent="0.2">
      <c r="A40" s="198" t="s">
        <v>35</v>
      </c>
      <c r="B40" s="201">
        <f>B14</f>
        <v>1.9999999999999998E-4</v>
      </c>
      <c r="C40" s="200"/>
      <c r="F40" s="195">
        <v>38</v>
      </c>
      <c r="G40" s="210">
        <f t="shared" si="0"/>
        <v>168.58385534372036</v>
      </c>
      <c r="H40" s="210">
        <f t="shared" si="1"/>
        <v>168.57881372500071</v>
      </c>
      <c r="I40" s="196">
        <f t="shared" si="2"/>
        <v>1</v>
      </c>
      <c r="J40" s="195">
        <f t="shared" si="19"/>
        <v>1</v>
      </c>
      <c r="K40" s="195">
        <f t="shared" si="20"/>
        <v>1</v>
      </c>
      <c r="L40" s="195">
        <f>10^('Small Signal'!F40/30)</f>
        <v>18.478497974222911</v>
      </c>
      <c r="M40" s="195" t="str">
        <f t="shared" si="21"/>
        <v>116.103826970385i</v>
      </c>
      <c r="N40" s="195">
        <f>IF(D$32=1, IF(AND('Small Signal'!$B$62&gt;=1,FCCM=0),V40+0,S40+0), 0)</f>
        <v>9.1386151832547551</v>
      </c>
      <c r="O40" s="195">
        <f>IF(D$32=1, IF(AND('Small Signal'!$B$62&gt;=1,FCCM=0),W40,T40), 0)</f>
        <v>-0.24813508016894015</v>
      </c>
      <c r="P40" s="195">
        <f>IF(AND('Small Signal'!$B$62&gt;=1,FCCM=0),AF40+0,AC40+0)</f>
        <v>62.006949142504169</v>
      </c>
      <c r="Q40" s="195">
        <f>IF(AND('Small Signal'!$B$62&gt;=1,FCCM=0),AG40,AD40)</f>
        <v>170.38930190024482</v>
      </c>
      <c r="R40" s="195" t="str">
        <f>IMDIV(IMSUM('Small Signal'!$B$2*'Small Signal'!$B$39*'Small Signal'!$B$63,IMPRODUCT(M40,'Small Signal'!$B$2*'Small Signal'!$B$39*'Small Signal'!$B$63*'Small Signal'!$B$14*'Small Signal'!$B$15)),IMSUM(IMPRODUCT('Small Signal'!$B$12*'Small Signal'!$B$14*('Small Signal'!$B$15+'Small Signal'!$B$39),IMPOWER(M40,2)),IMSUM(IMPRODUCT(M40,('Small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2.61458155148168-0.0105139060067779i</v>
      </c>
      <c r="S40" s="195">
        <f t="shared" si="22"/>
        <v>9.1386151832547551</v>
      </c>
      <c r="T40" s="195">
        <f t="shared" si="23"/>
        <v>-0.24813508016894015</v>
      </c>
      <c r="U40" s="195" t="str">
        <f>IMDIV(IMSUM('Small Signal'!$B$75,IMPRODUCT(M40,'Small Signal'!$B$76)),IMSUM(IMPRODUCT('Small Signal'!$B$79,IMPOWER(M40,2)),IMSUM(IMPRODUCT(M40,'Small Signal'!$B$78),'Small Signal'!$B$77)))</f>
        <v>3.06202748040113-0.0094493428444025i</v>
      </c>
      <c r="V40" s="195">
        <f t="shared" si="3"/>
        <v>9.7202230385181956</v>
      </c>
      <c r="W40" s="195">
        <f t="shared" si="4"/>
        <v>-0.17681283038092818</v>
      </c>
      <c r="X40" s="195" t="str">
        <f>IMPRODUCT(IMDIV(IMSUM(IMPRODUCT(M40,'Small Signal'!$B$58*'Small Signal'!$B$6*'Small Signal'!$B$51*'Small Signal'!$B$7*'Small Signal'!$B$8),'Small Signal'!$B$58*'Small Signal'!$B$6*'Small Signal'!$B$51),IMSUM(IMSUM(IMPRODUCT(M40,('Small Signal'!$B$5+'Small Signal'!$B$6)*('Small Signal'!$B$57*'Small Signal'!$B$58)+'Small Signal'!$B$5*'Small Signal'!$B$58*('Small Signal'!$B$8+'Small Signal'!$B$9)+'Small Signal'!$B$6*'Small Signal'!$B$58*('Small Signal'!$B$8+'Small Signal'!$B$9)+'Small Signal'!$B$7*'Small Signal'!$B$8*('Small Signal'!$B$5+'Small Signal'!$B$6)),'Small Signal'!$B$6+'Small Signal'!$B$5),IMPRODUCT(IMPOWER(M40,2),'Small Signal'!$B$57*'Small Signal'!$B$58*'Small Signal'!$B$8*'Small Signal'!$B$7*('Small Signal'!$B$5+'Small Signal'!$B$6)+('Small Signal'!$B$5+'Small Signal'!$B$6)*('Small Signal'!$B$9*'Small Signal'!$B$8*'Small Signal'!$B$58*'Small Signal'!$B$7)))),-1)</f>
        <v>-434.097467270109+71.6052503308022i</v>
      </c>
      <c r="Y40" s="195">
        <f t="shared" si="5"/>
        <v>52.868333959249455</v>
      </c>
      <c r="Z40" s="195">
        <f t="shared" si="6"/>
        <v>170.63743698041381</v>
      </c>
      <c r="AA40" s="195" t="str">
        <f t="shared" si="7"/>
        <v>1.0000000042156+0.0000723505196999137i</v>
      </c>
      <c r="AB40" s="195" t="str">
        <f t="shared" si="8"/>
        <v>-1242.24970813585+210.349403171575i</v>
      </c>
      <c r="AC40" s="192">
        <f t="shared" si="24"/>
        <v>62.006949142504169</v>
      </c>
      <c r="AD40" s="195">
        <f t="shared" si="25"/>
        <v>170.38930190024482</v>
      </c>
      <c r="AE40" s="195" t="str">
        <f t="shared" si="9"/>
        <v>-1328.54175139377+223.359180050041i</v>
      </c>
      <c r="AF40" s="192">
        <f t="shared" si="10"/>
        <v>62.588556938417845</v>
      </c>
      <c r="AG40" s="195">
        <f t="shared" si="11"/>
        <v>170.45647877063317</v>
      </c>
      <c r="AI40" s="195" t="str">
        <f t="shared" si="12"/>
        <v>0.002-43.0649026002852i</v>
      </c>
      <c r="AJ40" s="195">
        <f t="shared" si="13"/>
        <v>0.22500000000000001</v>
      </c>
      <c r="AK40" s="195" t="str">
        <f t="shared" si="14"/>
        <v>0.0375-86129.8052005705i</v>
      </c>
      <c r="AL40" s="195" t="str">
        <f t="shared" si="15"/>
        <v>0.2249937975645-0.00117610631389469i</v>
      </c>
      <c r="AM40" s="195" t="str">
        <f t="shared" si="16"/>
        <v>0.898502495619952-0.0000140695948736054i</v>
      </c>
      <c r="AN40" s="195" t="str">
        <f t="shared" si="17"/>
        <v>0.006+0.000159938945316347i</v>
      </c>
      <c r="AO40" s="195" t="str">
        <f t="shared" si="26"/>
        <v>2.86369450667955-0.0124020916468559i</v>
      </c>
      <c r="AP40" s="195">
        <f t="shared" si="27"/>
        <v>9.1386151832547551</v>
      </c>
      <c r="AQ40" s="195">
        <f t="shared" si="28"/>
        <v>-0.24813508016894015</v>
      </c>
      <c r="AS40" s="195" t="str">
        <f t="shared" si="18"/>
        <v>0.921951219274177-0.0000148135416511533i</v>
      </c>
      <c r="AT40" s="195" t="str">
        <f t="shared" si="29"/>
        <v>2.87866765214213-0.012519658851251i</v>
      </c>
      <c r="AU40" s="195">
        <f t="shared" si="30"/>
        <v>9.183912697545626</v>
      </c>
      <c r="AV40" s="195">
        <f t="shared" si="31"/>
        <v>-0.24918440652861862</v>
      </c>
    </row>
    <row r="41" spans="1:48" x14ac:dyDescent="0.2">
      <c r="A41" s="198" t="s">
        <v>36</v>
      </c>
      <c r="B41" s="202">
        <f>B15</f>
        <v>2E-3</v>
      </c>
      <c r="C41" s="200"/>
      <c r="D41" s="205"/>
      <c r="F41" s="195">
        <v>39</v>
      </c>
      <c r="G41" s="210">
        <f t="shared" si="0"/>
        <v>168.58425753965972</v>
      </c>
      <c r="H41" s="210">
        <f t="shared" si="1"/>
        <v>168.57881372500071</v>
      </c>
      <c r="I41" s="196">
        <f t="shared" si="2"/>
        <v>1</v>
      </c>
      <c r="J41" s="195">
        <f t="shared" si="19"/>
        <v>1</v>
      </c>
      <c r="K41" s="195">
        <f t="shared" si="20"/>
        <v>1</v>
      </c>
      <c r="L41" s="195">
        <f>10^('Small Signal'!F41/30)</f>
        <v>19.952623149688804</v>
      </c>
      <c r="M41" s="195" t="str">
        <f t="shared" si="21"/>
        <v>125.366028613816i</v>
      </c>
      <c r="N41" s="195">
        <f>IF(D$32=1, IF(AND('Small Signal'!$B$62&gt;=1,FCCM=0),V41+0,S41+0), 0)</f>
        <v>9.1386024593600386</v>
      </c>
      <c r="O41" s="195">
        <f>IF(D$32=1, IF(AND('Small Signal'!$B$62&gt;=1,FCCM=0),W41,T41), 0)</f>
        <v>-0.26792984307815831</v>
      </c>
      <c r="P41" s="195">
        <f>IF(AND('Small Signal'!$B$62&gt;=1,FCCM=0),AF41+0,AC41+0)</f>
        <v>61.98733857383489</v>
      </c>
      <c r="Q41" s="195">
        <f>IF(AND('Small Signal'!$B$62&gt;=1,FCCM=0),AG41,AD41)</f>
        <v>169.63809730658488</v>
      </c>
      <c r="R41" s="195" t="str">
        <f>IMDIV(IMSUM('Small Signal'!$B$2*'Small Signal'!$B$39*'Small Signal'!$B$63,IMPRODUCT(M41,'Small Signal'!$B$2*'Small Signal'!$B$39*'Small Signal'!$B$63*'Small Signal'!$B$14*'Small Signal'!$B$15)),IMSUM(IMPRODUCT('Small Signal'!$B$12*'Small Signal'!$B$14*('Small Signal'!$B$15+'Small Signal'!$B$39),IMPOWER(M41,2)),IMSUM(IMPRODUCT(M41,('Small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2.6145748892139-0.0113526271847398i</v>
      </c>
      <c r="S41" s="195">
        <f t="shared" si="22"/>
        <v>9.1386024593600386</v>
      </c>
      <c r="T41" s="195">
        <f t="shared" si="23"/>
        <v>-0.26792984307815831</v>
      </c>
      <c r="U41" s="195" t="str">
        <f>IMDIV(IMSUM('Small Signal'!$B$75,IMPRODUCT(M41,'Small Signal'!$B$76)),IMSUM(IMPRODUCT('Small Signal'!$B$79,IMPOWER(M41,2)),IMSUM(IMPRODUCT(M41,'Small Signal'!$B$78),'Small Signal'!$B$77)))</f>
        <v>3.06202367970707-0.0102031565480344i</v>
      </c>
      <c r="V41" s="195">
        <f t="shared" si="3"/>
        <v>9.7202191192913503</v>
      </c>
      <c r="W41" s="195">
        <f t="shared" si="4"/>
        <v>-0.19091806773008096</v>
      </c>
      <c r="X41" s="195" t="str">
        <f>IMPRODUCT(IMDIV(IMSUM(IMPRODUCT(M41,'Small Signal'!$B$58*'Small Signal'!$B$6*'Small Signal'!$B$51*'Small Signal'!$B$7*'Small Signal'!$B$8),'Small Signal'!$B$58*'Small Signal'!$B$6*'Small Signal'!$B$51),IMSUM(IMSUM(IMPRODUCT(M41,('Small Signal'!$B$5+'Small Signal'!$B$6)*('Small Signal'!$B$57*'Small Signal'!$B$58)+'Small Signal'!$B$5*'Small Signal'!$B$58*('Small Signal'!$B$8+'Small Signal'!$B$9)+'Small Signal'!$B$6*'Small Signal'!$B$58*('Small Signal'!$B$8+'Small Signal'!$B$9)+'Small Signal'!$B$7*'Small Signal'!$B$8*('Small Signal'!$B$5+'Small Signal'!$B$6)),'Small Signal'!$B$6+'Small Signal'!$B$5),IMPRODUCT(IMPOWER(M41,2),'Small Signal'!$B$57*'Small Signal'!$B$58*'Small Signal'!$B$8*'Small Signal'!$B$7*('Small Signal'!$B$5+'Small Signal'!$B$6)+('Small Signal'!$B$5+'Small Signal'!$B$6)*('Small Signal'!$B$9*'Small Signal'!$B$8*'Small Signal'!$B$58*'Small Signal'!$B$7)))),-1)</f>
        <v>-432.17139660553+76.9693800151413i</v>
      </c>
      <c r="Y41" s="195">
        <f t="shared" si="5"/>
        <v>52.848736114474853</v>
      </c>
      <c r="Z41" s="195">
        <f t="shared" si="6"/>
        <v>169.906027149663</v>
      </c>
      <c r="AA41" s="195" t="str">
        <f t="shared" si="7"/>
        <v>1.00000000491502+0.0000781222941094645i</v>
      </c>
      <c r="AB41" s="195" t="str">
        <f t="shared" si="8"/>
        <v>-1236.5900633039+226.106915704139i</v>
      </c>
      <c r="AC41" s="192">
        <f t="shared" si="24"/>
        <v>61.98733857383489</v>
      </c>
      <c r="AD41" s="195">
        <f t="shared" si="25"/>
        <v>169.63809730658488</v>
      </c>
      <c r="AE41" s="195" t="str">
        <f t="shared" si="9"/>
        <v>-1322.53371946451+240.091576633884i</v>
      </c>
      <c r="AF41" s="192">
        <f t="shared" si="10"/>
        <v>62.568955164569495</v>
      </c>
      <c r="AG41" s="195">
        <f t="shared" si="11"/>
        <v>169.71063300422568</v>
      </c>
      <c r="AI41" s="195" t="str">
        <f t="shared" si="12"/>
        <v>0.002-39.8832128231665i</v>
      </c>
      <c r="AJ41" s="195">
        <f t="shared" si="13"/>
        <v>0.22500000000000001</v>
      </c>
      <c r="AK41" s="195" t="str">
        <f t="shared" si="14"/>
        <v>0.0375-79766.4256463329i</v>
      </c>
      <c r="AL41" s="195" t="str">
        <f t="shared" si="15"/>
        <v>0.224992768524496-0.00126992452622066i</v>
      </c>
      <c r="AM41" s="195" t="str">
        <f t="shared" si="16"/>
        <v>0.898502495583397-0.0000151919990879144i</v>
      </c>
      <c r="AN41" s="195" t="str">
        <f t="shared" si="17"/>
        <v>0.006+0.000172698100641481i</v>
      </c>
      <c r="AO41" s="195" t="str">
        <f t="shared" si="26"/>
        <v>2.86368585605907-0.013391431294176i</v>
      </c>
      <c r="AP41" s="195">
        <f t="shared" si="27"/>
        <v>9.1386024593600386</v>
      </c>
      <c r="AQ41" s="195">
        <f t="shared" si="28"/>
        <v>-0.26792984307815831</v>
      </c>
      <c r="AS41" s="195" t="str">
        <f t="shared" si="18"/>
        <v>0.921951219234686-0.0000159952943403373i</v>
      </c>
      <c r="AT41" s="195" t="str">
        <f t="shared" si="29"/>
        <v>2.87865887271621-0.0135183766406729i</v>
      </c>
      <c r="AU41" s="195">
        <f t="shared" si="30"/>
        <v>9.1838998360186892</v>
      </c>
      <c r="AV41" s="195">
        <f t="shared" si="31"/>
        <v>-0.26906287545737134</v>
      </c>
    </row>
    <row r="42" spans="1:48" x14ac:dyDescent="0.2">
      <c r="A42" s="198" t="s">
        <v>37</v>
      </c>
      <c r="B42" s="201">
        <f>B12</f>
        <v>1.3775510204081631E-6</v>
      </c>
      <c r="C42" s="200"/>
      <c r="D42" s="205"/>
      <c r="F42" s="195">
        <v>40</v>
      </c>
      <c r="G42" s="210">
        <f t="shared" si="0"/>
        <v>168.58469182084224</v>
      </c>
      <c r="H42" s="210">
        <f t="shared" si="1"/>
        <v>168.57881372500071</v>
      </c>
      <c r="I42" s="196">
        <f t="shared" si="2"/>
        <v>1</v>
      </c>
      <c r="J42" s="195">
        <f t="shared" si="19"/>
        <v>1</v>
      </c>
      <c r="K42" s="195">
        <f t="shared" si="20"/>
        <v>1</v>
      </c>
      <c r="L42" s="195">
        <f>10^('Small Signal'!F42/30)</f>
        <v>21.544346900318843</v>
      </c>
      <c r="M42" s="195" t="str">
        <f t="shared" si="21"/>
        <v>135.367123896863i</v>
      </c>
      <c r="N42" s="195">
        <f>IF(D$32=1, IF(AND('Small Signal'!$B$62&gt;=1,FCCM=0),V42+0,S42+0), 0)</f>
        <v>9.1385876244347966</v>
      </c>
      <c r="O42" s="195">
        <f>IF(D$32=1, IF(AND('Small Signal'!$B$62&gt;=1,FCCM=0),W42,T42), 0)</f>
        <v>-0.28930367080367941</v>
      </c>
      <c r="P42" s="195">
        <f>IF(AND('Small Signal'!$B$62&gt;=1,FCCM=0),AF42+0,AC42+0)</f>
        <v>61.964585485768552</v>
      </c>
      <c r="Q42" s="195">
        <f>IF(AND('Small Signal'!$B$62&gt;=1,FCCM=0),AG42,AD42)</f>
        <v>168.83086213599711</v>
      </c>
      <c r="R42" s="195" t="str">
        <f>IMDIV(IMSUM('Small Signal'!$B$2*'Small Signal'!$B$39*'Small Signal'!$B$63,IMPRODUCT(M42,'Small Signal'!$B$2*'Small Signal'!$B$39*'Small Signal'!$B$63*'Small Signal'!$B$14*'Small Signal'!$B$15)),IMSUM(IMPRODUCT('Small Signal'!$B$12*'Small Signal'!$B$14*('Small Signal'!$B$15+'Small Signal'!$B$39),IMPOWER(M42,2)),IMSUM(IMPRODUCT(M42,('Small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2.61456712162038-0.0122582503915124i</v>
      </c>
      <c r="S42" s="195">
        <f t="shared" si="22"/>
        <v>9.1385876244347966</v>
      </c>
      <c r="T42" s="195">
        <f t="shared" si="23"/>
        <v>-0.28930367080367941</v>
      </c>
      <c r="U42" s="195" t="str">
        <f>IMDIV(IMSUM('Small Signal'!$B$75,IMPRODUCT(M42,'Small Signal'!$B$76)),IMSUM(IMPRODUCT('Small Signal'!$B$79,IMPOWER(M42,2)),IMSUM(IMPRODUCT(M42,'Small Signal'!$B$78),'Small Signal'!$B$77)))</f>
        <v>3.0620192484308-0.0110171034916216i</v>
      </c>
      <c r="V42" s="195">
        <f t="shared" si="3"/>
        <v>9.7202145498114181</v>
      </c>
      <c r="W42" s="195">
        <f t="shared" si="4"/>
        <v>-0.2061485436429821</v>
      </c>
      <c r="X42" s="195" t="str">
        <f>IMPRODUCT(IMDIV(IMSUM(IMPRODUCT(M42,'Small Signal'!$B$58*'Small Signal'!$B$6*'Small Signal'!$B$51*'Small Signal'!$B$7*'Small Signal'!$B$8),'Small Signal'!$B$58*'Small Signal'!$B$6*'Small Signal'!$B$51),IMSUM(IMSUM(IMPRODUCT(M42,('Small Signal'!$B$5+'Small Signal'!$B$6)*('Small Signal'!$B$57*'Small Signal'!$B$58)+'Small Signal'!$B$5*'Small Signal'!$B$58*('Small Signal'!$B$8+'Small Signal'!$B$9)+'Small Signal'!$B$6*'Small Signal'!$B$58*('Small Signal'!$B$8+'Small Signal'!$B$9)+'Small Signal'!$B$7*'Small Signal'!$B$8*('Small Signal'!$B$5+'Small Signal'!$B$6)),'Small Signal'!$B$6+'Small Signal'!$B$5),IMPRODUCT(IMPOWER(M42,2),'Small Signal'!$B$57*'Small Signal'!$B$58*'Small Signal'!$B$8*'Small Signal'!$B$7*('Small Signal'!$B$5+'Small Signal'!$B$6)+('Small Signal'!$B$5+'Small Signal'!$B$6)*('Small Signal'!$B$9*'Small Signal'!$B$8*'Small Signal'!$B$58*'Small Signal'!$B$7)))),-1)</f>
        <v>-429.947552583958+82.675531870814i</v>
      </c>
      <c r="Y42" s="195">
        <f t="shared" si="5"/>
        <v>52.825997861333747</v>
      </c>
      <c r="Z42" s="195">
        <f t="shared" si="6"/>
        <v>169.1201658068008</v>
      </c>
      <c r="AA42" s="195" t="str">
        <f t="shared" si="7"/>
        <v>1.0000000057305+0.0000843545127480619i</v>
      </c>
      <c r="AB42" s="195" t="str">
        <f t="shared" si="8"/>
        <v>-1230.05542952082+242.869066204305i</v>
      </c>
      <c r="AC42" s="192">
        <f t="shared" si="24"/>
        <v>61.964585485768552</v>
      </c>
      <c r="AD42" s="195">
        <f t="shared" si="25"/>
        <v>168.83086213599711</v>
      </c>
      <c r="AE42" s="195" t="str">
        <f t="shared" si="9"/>
        <v>-1315.59683693695+257.890846645473i</v>
      </c>
      <c r="AF42" s="192">
        <f t="shared" si="10"/>
        <v>62.546212330467668</v>
      </c>
      <c r="AG42" s="195">
        <f t="shared" si="11"/>
        <v>168.90918410563367</v>
      </c>
      <c r="AI42" s="195" t="str">
        <f t="shared" si="12"/>
        <v>0.002-36.936590333481i</v>
      </c>
      <c r="AJ42" s="195">
        <f t="shared" si="13"/>
        <v>0.22500000000000001</v>
      </c>
      <c r="AK42" s="195" t="str">
        <f t="shared" si="14"/>
        <v>0.0375-73873.1806669621i</v>
      </c>
      <c r="AL42" s="195" t="str">
        <f t="shared" si="15"/>
        <v>0.224991568763926-0.00137122558449209i</v>
      </c>
      <c r="AM42" s="195" t="str">
        <f t="shared" si="16"/>
        <v>0.898502495540779-0.000016403943280457i</v>
      </c>
      <c r="AN42" s="195" t="str">
        <f t="shared" si="17"/>
        <v>0.006+0.000186475119653842i</v>
      </c>
      <c r="AO42" s="195" t="str">
        <f t="shared" si="26"/>
        <v>2.86367577023996-0.014459685515901i</v>
      </c>
      <c r="AP42" s="195">
        <f t="shared" si="27"/>
        <v>9.1385876244347966</v>
      </c>
      <c r="AQ42" s="195">
        <f t="shared" si="28"/>
        <v>-0.28930367080367941</v>
      </c>
      <c r="AS42" s="195" t="str">
        <f t="shared" si="18"/>
        <v>0.921951219188643-0.0000172713215419546i</v>
      </c>
      <c r="AT42" s="195" t="str">
        <f t="shared" si="29"/>
        <v>2.87864863672265-0.014596756939993i</v>
      </c>
      <c r="AU42" s="195">
        <f t="shared" si="30"/>
        <v>9.1838848406271154</v>
      </c>
      <c r="AV42" s="195">
        <f t="shared" si="31"/>
        <v>-0.29052708578632858</v>
      </c>
    </row>
    <row r="43" spans="1:48" x14ac:dyDescent="0.2">
      <c r="A43" s="198" t="s">
        <v>17</v>
      </c>
      <c r="B43" s="203">
        <f>B13</f>
        <v>6.0000000000000001E-3</v>
      </c>
      <c r="C43" s="200"/>
      <c r="D43" s="205"/>
      <c r="F43" s="195">
        <v>41</v>
      </c>
      <c r="G43" s="210">
        <f t="shared" si="0"/>
        <v>168.5851607468725</v>
      </c>
      <c r="H43" s="210">
        <f t="shared" si="1"/>
        <v>168.57881372500071</v>
      </c>
      <c r="I43" s="196">
        <f t="shared" si="2"/>
        <v>1</v>
      </c>
      <c r="J43" s="195">
        <f t="shared" si="19"/>
        <v>1</v>
      </c>
      <c r="K43" s="195">
        <f t="shared" si="20"/>
        <v>1</v>
      </c>
      <c r="L43" s="195">
        <f>10^('Small Signal'!F43/30)</f>
        <v>23.263050671536273</v>
      </c>
      <c r="M43" s="195" t="str">
        <f t="shared" si="21"/>
        <v>146.166058179571i</v>
      </c>
      <c r="N43" s="195">
        <f>IF(D$32=1, IF(AND('Small Signal'!$B$62&gt;=1,FCCM=0),V43+0,S43+0), 0)</f>
        <v>9.1385703282457236</v>
      </c>
      <c r="O43" s="195">
        <f>IF(D$32=1, IF(AND('Small Signal'!$B$62&gt;=1,FCCM=0),W43,T43), 0)</f>
        <v>-0.312382516510542</v>
      </c>
      <c r="P43" s="195">
        <f>IF(AND('Small Signal'!$B$62&gt;=1,FCCM=0),AF43+0,AC43+0)</f>
        <v>61.938206848214008</v>
      </c>
      <c r="Q43" s="195">
        <f>IF(AND('Small Signal'!$B$62&gt;=1,FCCM=0),AG43,AD43)</f>
        <v>167.96408411206676</v>
      </c>
      <c r="R43" s="195" t="str">
        <f>IMDIV(IMSUM('Small Signal'!$B$2*'Small Signal'!$B$39*'Small Signal'!$B$63,IMPRODUCT(M43,'Small Signal'!$B$2*'Small Signal'!$B$39*'Small Signal'!$B$63*'Small Signal'!$B$14*'Small Signal'!$B$15)),IMSUM(IMPRODUCT('Small Signal'!$B$12*'Small Signal'!$B$14*('Small Signal'!$B$15+'Small Signal'!$B$39),IMPOWER(M43,2)),IMSUM(IMPRODUCT(M43,('Small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2.61455806532619-0.0132361109117857i</v>
      </c>
      <c r="S43" s="195">
        <f t="shared" si="22"/>
        <v>9.1385703282457236</v>
      </c>
      <c r="T43" s="195">
        <f t="shared" si="23"/>
        <v>-0.312382516510542</v>
      </c>
      <c r="U43" s="195" t="str">
        <f>IMDIV(IMSUM('Small Signal'!$B$75,IMPRODUCT(M43,'Small Signal'!$B$76)),IMSUM(IMPRODUCT('Small Signal'!$B$79,IMPOWER(M43,2)),IMSUM(IMPRODUCT(M43,'Small Signal'!$B$78),'Small Signal'!$B$77)))</f>
        <v>3.06201408195235-0.0118959802003386i</v>
      </c>
      <c r="V43" s="195">
        <f t="shared" si="3"/>
        <v>9.7202092221929934</v>
      </c>
      <c r="W43" s="195">
        <f t="shared" si="4"/>
        <v>-0.22259402186922281</v>
      </c>
      <c r="X43" s="195" t="str">
        <f>IMPRODUCT(IMDIV(IMSUM(IMPRODUCT(M43,'Small Signal'!$B$58*'Small Signal'!$B$6*'Small Signal'!$B$51*'Small Signal'!$B$7*'Small Signal'!$B$8),'Small Signal'!$B$58*'Small Signal'!$B$6*'Small Signal'!$B$51),IMSUM(IMSUM(IMPRODUCT(M43,('Small Signal'!$B$5+'Small Signal'!$B$6)*('Small Signal'!$B$57*'Small Signal'!$B$58)+'Small Signal'!$B$5*'Small Signal'!$B$58*('Small Signal'!$B$8+'Small Signal'!$B$9)+'Small Signal'!$B$6*'Small Signal'!$B$58*('Small Signal'!$B$8+'Small Signal'!$B$9)+'Small Signal'!$B$7*'Small Signal'!$B$8*('Small Signal'!$B$5+'Small Signal'!$B$6)),'Small Signal'!$B$6+'Small Signal'!$B$5),IMPRODUCT(IMPOWER(M43,2),'Small Signal'!$B$57*'Small Signal'!$B$58*'Small Signal'!$B$8*'Small Signal'!$B$7*('Small Signal'!$B$5+'Small Signal'!$B$6)+('Small Signal'!$B$5+'Small Signal'!$B$6)*('Small Signal'!$B$9*'Small Signal'!$B$8*'Small Signal'!$B$58*'Small Signal'!$B$7)))),-1)</f>
        <v>-427.383895567517+88.7306402155507i</v>
      </c>
      <c r="Y43" s="195">
        <f t="shared" si="5"/>
        <v>52.799636519968288</v>
      </c>
      <c r="Z43" s="195">
        <f t="shared" si="6"/>
        <v>168.27646662857731</v>
      </c>
      <c r="AA43" s="195" t="str">
        <f t="shared" si="7"/>
        <v>1.00000000668127+0.0000910839076258715i</v>
      </c>
      <c r="AB43" s="195" t="str">
        <f t="shared" si="8"/>
        <v>-1222.52227602788+260.656200501669i</v>
      </c>
      <c r="AC43" s="192">
        <f t="shared" si="24"/>
        <v>61.938206848214008</v>
      </c>
      <c r="AD43" s="195">
        <f t="shared" si="25"/>
        <v>167.96408411206676</v>
      </c>
      <c r="AE43" s="195" t="str">
        <f t="shared" si="9"/>
        <v>-1307.59996868822+276.778620200278i</v>
      </c>
      <c r="AF43" s="192">
        <f t="shared" si="10"/>
        <v>62.519845648098226</v>
      </c>
      <c r="AG43" s="195">
        <f t="shared" si="11"/>
        <v>168.04865388326886</v>
      </c>
      <c r="AI43" s="195" t="str">
        <f t="shared" si="12"/>
        <v>0.002-34.2076680610576i</v>
      </c>
      <c r="AJ43" s="195">
        <f t="shared" si="13"/>
        <v>0.22500000000000001</v>
      </c>
      <c r="AK43" s="195" t="str">
        <f t="shared" si="14"/>
        <v>0.0375-68415.3361221152i</v>
      </c>
      <c r="AL43" s="195" t="str">
        <f t="shared" si="15"/>
        <v>0.2249901699621-0.00148060604115906i</v>
      </c>
      <c r="AM43" s="195" t="str">
        <f t="shared" si="16"/>
        <v>0.89850249549109-0.0000177125705174906i</v>
      </c>
      <c r="AN43" s="195" t="str">
        <f t="shared" si="17"/>
        <v>0.006+0.000201351202594307i</v>
      </c>
      <c r="AO43" s="195" t="str">
        <f t="shared" si="26"/>
        <v>2.86366401112513-0.0156131471053704i</v>
      </c>
      <c r="AP43" s="195">
        <f t="shared" si="27"/>
        <v>9.1385703282457236</v>
      </c>
      <c r="AQ43" s="195">
        <f t="shared" si="28"/>
        <v>-0.312382516510542</v>
      </c>
      <c r="AS43" s="195" t="str">
        <f t="shared" si="18"/>
        <v>0.921951219134963-0.0000186491440204923i</v>
      </c>
      <c r="AT43" s="195" t="str">
        <f t="shared" si="29"/>
        <v>2.87863670251952-0.0157611521555518i</v>
      </c>
      <c r="AU43" s="195">
        <f t="shared" si="30"/>
        <v>9.1838673573494312</v>
      </c>
      <c r="AV43" s="195">
        <f t="shared" si="31"/>
        <v>-0.31370352302714821</v>
      </c>
    </row>
    <row r="44" spans="1:48" x14ac:dyDescent="0.2">
      <c r="A44" s="198" t="s">
        <v>38</v>
      </c>
      <c r="B44" s="200">
        <f>B2</f>
        <v>12</v>
      </c>
      <c r="C44" s="200"/>
      <c r="D44" s="205"/>
      <c r="F44" s="195">
        <v>42</v>
      </c>
      <c r="G44" s="210">
        <f t="shared" si="0"/>
        <v>168.58566708154785</v>
      </c>
      <c r="H44" s="210">
        <f t="shared" si="1"/>
        <v>168.57881372500071</v>
      </c>
      <c r="I44" s="196">
        <f t="shared" si="2"/>
        <v>1</v>
      </c>
      <c r="J44" s="195">
        <f t="shared" si="19"/>
        <v>1</v>
      </c>
      <c r="K44" s="195">
        <f t="shared" si="20"/>
        <v>1</v>
      </c>
      <c r="L44" s="195">
        <f>10^('Small Signal'!F44/30)</f>
        <v>25.118864315095799</v>
      </c>
      <c r="M44" s="195" t="str">
        <f t="shared" si="21"/>
        <v>157.826479197648i</v>
      </c>
      <c r="N44" s="195">
        <f>IF(D$32=1, IF(AND('Small Signal'!$B$62&gt;=1,FCCM=0),V44+0,S44+0), 0)</f>
        <v>9.1385501624564984</v>
      </c>
      <c r="O44" s="195">
        <f>IF(D$32=1, IF(AND('Small Signal'!$B$62&gt;=1,FCCM=0),W44,T44), 0)</f>
        <v>-0.33730237689985654</v>
      </c>
      <c r="P44" s="195">
        <f>IF(AND('Small Signal'!$B$62&gt;=1,FCCM=0),AF44+0,AC44+0)</f>
        <v>61.907652389332249</v>
      </c>
      <c r="Q44" s="195">
        <f>IF(AND('Small Signal'!$B$62&gt;=1,FCCM=0),AG44,AD44)</f>
        <v>167.03419592772445</v>
      </c>
      <c r="R44" s="195" t="str">
        <f>IMDIV(IMSUM('Small Signal'!$B$2*'Small Signal'!$B$39*'Small Signal'!$B$63,IMPRODUCT(M44,'Small Signal'!$B$2*'Small Signal'!$B$39*'Small Signal'!$B$63*'Small Signal'!$B$14*'Small Signal'!$B$15)),IMSUM(IMPRODUCT('Small Signal'!$B$12*'Small Signal'!$B$14*('Small Signal'!$B$15+'Small Signal'!$B$39),IMPOWER(M44,2)),IMSUM(IMPRODUCT(M44,('Small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2.61454750653707-0.0142919691782289i</v>
      </c>
      <c r="S44" s="195">
        <f t="shared" si="22"/>
        <v>9.1385501624564984</v>
      </c>
      <c r="T44" s="195">
        <f t="shared" si="23"/>
        <v>-0.33730237689985654</v>
      </c>
      <c r="U44" s="195" t="str">
        <f>IMDIV(IMSUM('Small Signal'!$B$75,IMPRODUCT(M44,'Small Signal'!$B$76)),IMSUM(IMPRODUCT('Small Signal'!$B$79,IMPOWER(M44,2)),IMSUM(IMPRODUCT(M44,'Small Signal'!$B$78),'Small Signal'!$B$77)))</f>
        <v>3.06200805829486-0.012844965684009i</v>
      </c>
      <c r="V44" s="195">
        <f t="shared" si="3"/>
        <v>9.7202030106515576</v>
      </c>
      <c r="W44" s="195">
        <f t="shared" si="4"/>
        <v>-0.2403514264703393</v>
      </c>
      <c r="X44" s="195" t="str">
        <f>IMPRODUCT(IMDIV(IMSUM(IMPRODUCT(M44,'Small Signal'!$B$58*'Small Signal'!$B$6*'Small Signal'!$B$51*'Small Signal'!$B$7*'Small Signal'!$B$8),'Small Signal'!$B$58*'Small Signal'!$B$6*'Small Signal'!$B$51),IMSUM(IMSUM(IMPRODUCT(M44,('Small Signal'!$B$5+'Small Signal'!$B$6)*('Small Signal'!$B$57*'Small Signal'!$B$58)+'Small Signal'!$B$5*'Small Signal'!$B$58*('Small Signal'!$B$8+'Small Signal'!$B$9)+'Small Signal'!$B$6*'Small Signal'!$B$58*('Small Signal'!$B$8+'Small Signal'!$B$9)+'Small Signal'!$B$7*'Small Signal'!$B$8*('Small Signal'!$B$5+'Small Signal'!$B$6)),'Small Signal'!$B$6+'Small Signal'!$B$5),IMPRODUCT(IMPOWER(M44,2),'Small Signal'!$B$57*'Small Signal'!$B$58*'Small Signal'!$B$8*'Small Signal'!$B$7*('Small Signal'!$B$5+'Small Signal'!$B$6)+('Small Signal'!$B$5+'Small Signal'!$B$6)*('Small Signal'!$B$9*'Small Signal'!$B$8*'Small Signal'!$B$58*'Small Signal'!$B$7)))),-1)</f>
        <v>-424.433802392354+95.1377422900561i</v>
      </c>
      <c r="Y44" s="195">
        <f t="shared" si="5"/>
        <v>52.769102226875724</v>
      </c>
      <c r="Z44" s="195">
        <f t="shared" si="6"/>
        <v>167.37149830462425</v>
      </c>
      <c r="AA44" s="195" t="str">
        <f t="shared" si="7"/>
        <v>1.00000000778979+0.0000983501410543681i</v>
      </c>
      <c r="AB44" s="195" t="str">
        <f t="shared" si="8"/>
        <v>-1213.85360373551+279.477210590553i</v>
      </c>
      <c r="AC44" s="192">
        <f t="shared" si="24"/>
        <v>61.907652389332249</v>
      </c>
      <c r="AD44" s="195">
        <f t="shared" si="25"/>
        <v>167.03419592772445</v>
      </c>
      <c r="AE44" s="195" t="str">
        <f t="shared" si="9"/>
        <v>-1298.39768210315+296.764371166995i</v>
      </c>
      <c r="AF44" s="192">
        <f t="shared" si="10"/>
        <v>62.489305127857833</v>
      </c>
      <c r="AG44" s="195">
        <f t="shared" si="11"/>
        <v>167.12551183021907</v>
      </c>
      <c r="AI44" s="195" t="str">
        <f t="shared" si="12"/>
        <v>0.002-31.6803620369586i</v>
      </c>
      <c r="AJ44" s="195">
        <f t="shared" si="13"/>
        <v>0.22500000000000001</v>
      </c>
      <c r="AK44" s="195" t="str">
        <f t="shared" si="14"/>
        <v>0.0375-63360.7240739172i</v>
      </c>
      <c r="AL44" s="195" t="str">
        <f t="shared" si="15"/>
        <v>0.224988539101061-0.00159870993705036i</v>
      </c>
      <c r="AM44" s="195" t="str">
        <f t="shared" si="16"/>
        <v>0.898502495433156-0.0000191255937045312i</v>
      </c>
      <c r="AN44" s="195" t="str">
        <f t="shared" si="17"/>
        <v>0.006+0.000217414027466148i</v>
      </c>
      <c r="AO44" s="195" t="str">
        <f t="shared" si="26"/>
        <v>2.8636503011219-0.0168586101837196i</v>
      </c>
      <c r="AP44" s="195">
        <f t="shared" si="27"/>
        <v>9.1385501624564984</v>
      </c>
      <c r="AQ44" s="195">
        <f t="shared" si="28"/>
        <v>-0.33730237689985654</v>
      </c>
      <c r="AS44" s="195" t="str">
        <f t="shared" si="18"/>
        <v>0.921951219072373-0.0000201368825106329i</v>
      </c>
      <c r="AT44" s="195" t="str">
        <f t="shared" si="29"/>
        <v>2.87862278838137-0.0170184207632263i</v>
      </c>
      <c r="AU44" s="195">
        <f t="shared" si="30"/>
        <v>9.1838469734327592</v>
      </c>
      <c r="AV44" s="195">
        <f t="shared" si="31"/>
        <v>-0.33872875862336627</v>
      </c>
    </row>
    <row r="45" spans="1:48" x14ac:dyDescent="0.2">
      <c r="A45" s="198" t="s">
        <v>39</v>
      </c>
      <c r="B45" s="200">
        <f>B3</f>
        <v>1.8</v>
      </c>
      <c r="C45" s="200"/>
      <c r="D45" s="205"/>
      <c r="F45" s="195">
        <v>43</v>
      </c>
      <c r="G45" s="210">
        <f t="shared" si="0"/>
        <v>168.58621380914775</v>
      </c>
      <c r="H45" s="210">
        <f t="shared" si="1"/>
        <v>168.57881372500071</v>
      </c>
      <c r="I45" s="196">
        <f t="shared" si="2"/>
        <v>1</v>
      </c>
      <c r="J45" s="195">
        <f t="shared" si="19"/>
        <v>1</v>
      </c>
      <c r="K45" s="195">
        <f t="shared" si="20"/>
        <v>1</v>
      </c>
      <c r="L45" s="195">
        <f>10^('Small Signal'!F45/30)</f>
        <v>27.122725793320289</v>
      </c>
      <c r="M45" s="195" t="str">
        <f t="shared" si="21"/>
        <v>170.417112195251i</v>
      </c>
      <c r="N45" s="195">
        <f>IF(D$32=1, IF(AND('Small Signal'!$B$62&gt;=1,FCCM=0),V45+0,S45+0), 0)</f>
        <v>9.1385266509903964</v>
      </c>
      <c r="O45" s="195">
        <f>IF(D$32=1, IF(AND('Small Signal'!$B$62&gt;=1,FCCM=0),W45,T45), 0)</f>
        <v>-0.36421009229487461</v>
      </c>
      <c r="P45" s="195">
        <f>IF(AND('Small Signal'!$B$62&gt;=1,FCCM=0),AF45+0,AC45+0)</f>
        <v>61.872297591652831</v>
      </c>
      <c r="Q45" s="195">
        <f>IF(AND('Small Signal'!$B$62&gt;=1,FCCM=0),AG45,AD45)</f>
        <v>166.03761935801637</v>
      </c>
      <c r="R45" s="195" t="str">
        <f>IMDIV(IMSUM('Small Signal'!$B$2*'Small Signal'!$B$39*'Small Signal'!$B$63,IMPRODUCT(M45,'Small Signal'!$B$2*'Small Signal'!$B$39*'Small Signal'!$B$63*'Small Signal'!$B$14*'Small Signal'!$B$15)),IMSUM(IMPRODUCT('Small Signal'!$B$12*'Small Signal'!$B$14*('Small Signal'!$B$15+'Small Signal'!$B$39),IMPOWER(M45,2)),IMSUM(IMPRODUCT(M45,('Small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2.61453519599432-0.0154320445647103i</v>
      </c>
      <c r="S45" s="195">
        <f t="shared" si="22"/>
        <v>9.1385266509903964</v>
      </c>
      <c r="T45" s="195">
        <f t="shared" si="23"/>
        <v>-0.36421009229487461</v>
      </c>
      <c r="U45" s="195" t="str">
        <f>IMDIV(IMSUM('Small Signal'!$B$75,IMPRODUCT(M45,'Small Signal'!$B$76)),IMSUM(IMPRODUCT('Small Signal'!$B$79,IMPOWER(M45,2)),IMSUM(IMPRODUCT(M45,'Small Signal'!$B$78),'Small Signal'!$B$77)))</f>
        <v>3.06200103524507-0.0138696519087329i</v>
      </c>
      <c r="V45" s="195">
        <f t="shared" si="3"/>
        <v>9.7201957685335909</v>
      </c>
      <c r="W45" s="195">
        <f t="shared" si="4"/>
        <v>-0.25952541287803432</v>
      </c>
      <c r="X45" s="195" t="str">
        <f>IMPRODUCT(IMDIV(IMSUM(IMPRODUCT(M45,'Small Signal'!$B$58*'Small Signal'!$B$6*'Small Signal'!$B$51*'Small Signal'!$B$7*'Small Signal'!$B$8),'Small Signal'!$B$58*'Small Signal'!$B$6*'Small Signal'!$B$51),IMSUM(IMSUM(IMPRODUCT(M45,('Small Signal'!$B$5+'Small Signal'!$B$6)*('Small Signal'!$B$57*'Small Signal'!$B$58)+'Small Signal'!$B$5*'Small Signal'!$B$58*('Small Signal'!$B$8+'Small Signal'!$B$9)+'Small Signal'!$B$6*'Small Signal'!$B$58*('Small Signal'!$B$8+'Small Signal'!$B$9)+'Small Signal'!$B$7*'Small Signal'!$B$8*('Small Signal'!$B$5+'Small Signal'!$B$6)),'Small Signal'!$B$6+'Small Signal'!$B$5),IMPRODUCT(IMPOWER(M45,2),'Small Signal'!$B$57*'Small Signal'!$B$58*'Small Signal'!$B$8*'Small Signal'!$B$7*('Small Signal'!$B$5+'Small Signal'!$B$6)+('Small Signal'!$B$5+'Small Signal'!$B$6)*('Small Signal'!$B$9*'Small Signal'!$B$8*'Small Signal'!$B$58*'Small Signal'!$B$7)))),-1)</f>
        <v>-421.046029138322+101.894854865896i</v>
      </c>
      <c r="Y45" s="195">
        <f t="shared" si="5"/>
        <v>52.733770940662417</v>
      </c>
      <c r="Z45" s="195">
        <f t="shared" si="6"/>
        <v>166.40182945031123</v>
      </c>
      <c r="AA45" s="195" t="str">
        <f t="shared" si="7"/>
        <v>1.00000000908223+0.0001061960394114i</v>
      </c>
      <c r="AB45" s="195" t="str">
        <f t="shared" si="8"/>
        <v>-1203.89883585436+299.326233392436i</v>
      </c>
      <c r="AC45" s="192">
        <f t="shared" si="24"/>
        <v>61.872297591652831</v>
      </c>
      <c r="AD45" s="195">
        <f t="shared" si="25"/>
        <v>166.03761935801637</v>
      </c>
      <c r="AE45" s="195" t="str">
        <f t="shared" si="9"/>
        <v>-1287.83013093909+317.841912947222i</v>
      </c>
      <c r="AF45" s="192">
        <f t="shared" si="10"/>
        <v>62.453966581330789</v>
      </c>
      <c r="AG45" s="195">
        <f t="shared" si="11"/>
        <v>166.13621945265209</v>
      </c>
      <c r="AI45" s="195" t="str">
        <f t="shared" si="12"/>
        <v>0.002-29.3397765963278i</v>
      </c>
      <c r="AJ45" s="195">
        <f t="shared" si="13"/>
        <v>0.22500000000000001</v>
      </c>
      <c r="AK45" s="195" t="str">
        <f t="shared" si="14"/>
        <v>0.0375-58679.5531926557i</v>
      </c>
      <c r="AL45" s="195" t="str">
        <f t="shared" si="15"/>
        <v>0.224986637686808-0.00172623256344424i</v>
      </c>
      <c r="AM45" s="195" t="str">
        <f t="shared" si="16"/>
        <v>0.898502495365611-0.0000206513410453715i</v>
      </c>
      <c r="AN45" s="195" t="str">
        <f t="shared" si="17"/>
        <v>0.006+0.00023475826679958i</v>
      </c>
      <c r="AO45" s="195" t="str">
        <f t="shared" si="26"/>
        <v>2.86363431659226-0.0182034100171395i</v>
      </c>
      <c r="AP45" s="195">
        <f t="shared" si="27"/>
        <v>9.1385266509903964</v>
      </c>
      <c r="AQ45" s="195">
        <f t="shared" si="28"/>
        <v>-0.36421009229487461</v>
      </c>
      <c r="AS45" s="195" t="str">
        <f t="shared" si="18"/>
        <v>0.9219512189994-0.0000217433055799717i</v>
      </c>
      <c r="AT45" s="195" t="str">
        <f t="shared" si="29"/>
        <v>2.87860656585205-0.0183759675003678i</v>
      </c>
      <c r="AU45" s="195">
        <f t="shared" si="30"/>
        <v>9.1838232076512902</v>
      </c>
      <c r="AV45" s="195">
        <f t="shared" si="31"/>
        <v>-0.36575025339993683</v>
      </c>
    </row>
    <row r="46" spans="1:48" x14ac:dyDescent="0.2">
      <c r="A46" s="198" t="s">
        <v>43</v>
      </c>
      <c r="B46" s="201">
        <f>B11</f>
        <v>700000</v>
      </c>
      <c r="C46" s="200"/>
      <c r="D46" s="205"/>
      <c r="F46" s="195">
        <v>44</v>
      </c>
      <c r="G46" s="210">
        <f t="shared" si="0"/>
        <v>168.58680415202261</v>
      </c>
      <c r="H46" s="210">
        <f t="shared" si="1"/>
        <v>168.57881372500071</v>
      </c>
      <c r="I46" s="196">
        <f t="shared" si="2"/>
        <v>1</v>
      </c>
      <c r="J46" s="195">
        <f t="shared" si="19"/>
        <v>1</v>
      </c>
      <c r="K46" s="195">
        <f t="shared" si="20"/>
        <v>1</v>
      </c>
      <c r="L46" s="195">
        <f>10^('Small Signal'!F46/30)</f>
        <v>29.286445646252368</v>
      </c>
      <c r="M46" s="195" t="str">
        <f t="shared" si="21"/>
        <v>184.012164984046i</v>
      </c>
      <c r="N46" s="195">
        <f>IF(D$32=1, IF(AND('Small Signal'!$B$62&gt;=1,FCCM=0),V46+0,S46+0), 0)</f>
        <v>9.1384992387937114</v>
      </c>
      <c r="O46" s="195">
        <f>IF(D$32=1, IF(AND('Small Signal'!$B$62&gt;=1,FCCM=0),W46,T46), 0)</f>
        <v>-0.39326421025929836</v>
      </c>
      <c r="P46" s="195">
        <f>IF(AND('Small Signal'!$B$62&gt;=1,FCCM=0),AF46+0,AC46+0)</f>
        <v>61.831436762739528</v>
      </c>
      <c r="Q46" s="195">
        <f>IF(AND('Small Signal'!$B$62&gt;=1,FCCM=0),AG46,AD46)</f>
        <v>164.97082142805618</v>
      </c>
      <c r="R46" s="195" t="str">
        <f>IMDIV(IMSUM('Small Signal'!$B$2*'Small Signal'!$B$39*'Small Signal'!$B$63,IMPRODUCT(M46,'Small Signal'!$B$2*'Small Signal'!$B$39*'Small Signal'!$B$63*'Small Signal'!$B$14*'Small Signal'!$B$15)),IMSUM(IMPRODUCT('Small Signal'!$B$12*'Small Signal'!$B$14*('Small Signal'!$B$15+'Small Signal'!$B$39),IMPOWER(M46,2)),IMSUM(IMPRODUCT(M46,('Small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2.61452084309329-0.0166630518435304i</v>
      </c>
      <c r="S46" s="195">
        <f t="shared" si="22"/>
        <v>9.1384992387937114</v>
      </c>
      <c r="T46" s="195">
        <f t="shared" si="23"/>
        <v>-0.39326421025929836</v>
      </c>
      <c r="U46" s="195" t="str">
        <f>IMDIV(IMSUM('Small Signal'!$B$75,IMPRODUCT(M46,'Small Signal'!$B$76)),IMSUM(IMPRODUCT('Small Signal'!$B$79,IMPOWER(M46,2)),IMSUM(IMPRODUCT(M46,'Small Signal'!$B$78),'Small Signal'!$B$77)))</f>
        <v>3.06199284699628-0.0149760766887385i</v>
      </c>
      <c r="V46" s="195">
        <f t="shared" si="3"/>
        <v>9.720187324854253</v>
      </c>
      <c r="W46" s="195">
        <f t="shared" si="4"/>
        <v>-0.28022898446801947</v>
      </c>
      <c r="X46" s="195" t="str">
        <f>IMPRODUCT(IMDIV(IMSUM(IMPRODUCT(M46,'Small Signal'!$B$58*'Small Signal'!$B$6*'Small Signal'!$B$51*'Small Signal'!$B$7*'Small Signal'!$B$8),'Small Signal'!$B$58*'Small Signal'!$B$6*'Small Signal'!$B$51),IMSUM(IMSUM(IMPRODUCT(M46,('Small Signal'!$B$5+'Small Signal'!$B$6)*('Small Signal'!$B$57*'Small Signal'!$B$58)+'Small Signal'!$B$5*'Small Signal'!$B$58*('Small Signal'!$B$8+'Small Signal'!$B$9)+'Small Signal'!$B$6*'Small Signal'!$B$58*('Small Signal'!$B$8+'Small Signal'!$B$9)+'Small Signal'!$B$7*'Small Signal'!$B$8*('Small Signal'!$B$5+'Small Signal'!$B$6)),'Small Signal'!$B$6+'Small Signal'!$B$5),IMPRODUCT(IMPOWER(M46,2),'Small Signal'!$B$57*'Small Signal'!$B$58*'Small Signal'!$B$8*'Small Signal'!$B$7*('Small Signal'!$B$5+'Small Signal'!$B$6)+('Small Signal'!$B$5+'Small Signal'!$B$6)*('Small Signal'!$B$9*'Small Signal'!$B$8*'Small Signal'!$B$58*'Small Signal'!$B$7)))),-1)</f>
        <v>-417.164858163911+108.993682211255i</v>
      </c>
      <c r="Y46" s="195">
        <f t="shared" si="5"/>
        <v>52.692937523945787</v>
      </c>
      <c r="Z46" s="195">
        <f t="shared" si="6"/>
        <v>165.36408563831546</v>
      </c>
      <c r="AA46" s="195" t="str">
        <f t="shared" si="7"/>
        <v>1.0000000105891+0.000114667845554851i</v>
      </c>
      <c r="AB46" s="195" t="str">
        <f t="shared" si="8"/>
        <v>-1192.49424998798+320.178853954727i</v>
      </c>
      <c r="AC46" s="192">
        <f t="shared" si="24"/>
        <v>61.831436762739528</v>
      </c>
      <c r="AD46" s="195">
        <f t="shared" si="25"/>
        <v>164.97082142805618</v>
      </c>
      <c r="AE46" s="195" t="str">
        <f t="shared" si="9"/>
        <v>-1275.72351397273+339.985368206358i</v>
      </c>
      <c r="AF46" s="192">
        <f t="shared" si="10"/>
        <v>62.41312469972015</v>
      </c>
      <c r="AG46" s="195">
        <f t="shared" si="11"/>
        <v>165.07728667034962</v>
      </c>
      <c r="AI46" s="195" t="str">
        <f t="shared" si="12"/>
        <v>0.002-27.1721165849742i</v>
      </c>
      <c r="AJ46" s="195">
        <f t="shared" si="13"/>
        <v>0.22500000000000001</v>
      </c>
      <c r="AK46" s="195" t="str">
        <f t="shared" si="14"/>
        <v>0.0375-54344.2331699483i</v>
      </c>
      <c r="AL46" s="195" t="str">
        <f t="shared" si="15"/>
        <v>0.224984420841486-0.00186392451744668i</v>
      </c>
      <c r="AM46" s="195" t="str">
        <f t="shared" si="16"/>
        <v>0.89850249528686-0.0000222988051275964i</v>
      </c>
      <c r="AN46" s="195" t="str">
        <f t="shared" si="17"/>
        <v>0.006+0.000253486145641288i</v>
      </c>
      <c r="AO46" s="195" t="str">
        <f t="shared" si="26"/>
        <v>2.86361568021718-0.0196554659649435i</v>
      </c>
      <c r="AP46" s="195">
        <f t="shared" si="27"/>
        <v>9.1384992387937114</v>
      </c>
      <c r="AQ46" s="195">
        <f t="shared" si="28"/>
        <v>-0.39326421025929836</v>
      </c>
      <c r="AS46" s="195" t="str">
        <f t="shared" si="18"/>
        <v>0.921951218914321-0.0000234778813099882i</v>
      </c>
      <c r="AT46" s="195" t="str">
        <f t="shared" si="29"/>
        <v>2.87858765199539-0.0198417867175019i</v>
      </c>
      <c r="AU46" s="195">
        <f t="shared" si="30"/>
        <v>9.1837954989481965</v>
      </c>
      <c r="AV46" s="195">
        <f t="shared" si="31"/>
        <v>-0.39492722480841524</v>
      </c>
    </row>
    <row r="47" spans="1:48" x14ac:dyDescent="0.2">
      <c r="A47" s="198" t="s">
        <v>77</v>
      </c>
      <c r="B47" s="199">
        <f>'Design Equations CCM'!B14</f>
        <v>8</v>
      </c>
      <c r="C47" s="200"/>
      <c r="D47" s="205"/>
      <c r="F47" s="195">
        <v>45</v>
      </c>
      <c r="G47" s="210">
        <f t="shared" si="0"/>
        <v>168.58744158958598</v>
      </c>
      <c r="H47" s="210">
        <f t="shared" si="1"/>
        <v>168.57881372500071</v>
      </c>
      <c r="I47" s="196">
        <f t="shared" si="2"/>
        <v>1</v>
      </c>
      <c r="J47" s="195">
        <f t="shared" si="19"/>
        <v>1</v>
      </c>
      <c r="K47" s="195">
        <f t="shared" si="20"/>
        <v>1</v>
      </c>
      <c r="L47" s="195">
        <f>10^('Small Signal'!F47/30)</f>
        <v>31.622776601683803</v>
      </c>
      <c r="M47" s="195" t="str">
        <f t="shared" si="21"/>
        <v>198.691765315922i</v>
      </c>
      <c r="N47" s="195">
        <f>IF(D$32=1, IF(AND('Small Signal'!$B$62&gt;=1,FCCM=0),V47+0,S47+0), 0)</f>
        <v>9.1384672787367123</v>
      </c>
      <c r="O47" s="195">
        <f>IF(D$32=1, IF(AND('Small Signal'!$B$62&gt;=1,FCCM=0),W47,T47), 0)</f>
        <v>-0.42463591773977888</v>
      </c>
      <c r="P47" s="195">
        <f>IF(AND('Small Signal'!$B$62&gt;=1,FCCM=0),AF47+0,AC47+0)</f>
        <v>61.784276508281025</v>
      </c>
      <c r="Q47" s="195">
        <f>IF(AND('Small Signal'!$B$62&gt;=1,FCCM=0),AG47,AD47)</f>
        <v>163.83038427978909</v>
      </c>
      <c r="R47" s="195" t="str">
        <f>IMDIV(IMSUM('Small Signal'!$B$2*'Small Signal'!$B$39*'Small Signal'!$B$63,IMPRODUCT(M47,'Small Signal'!$B$2*'Small Signal'!$B$39*'Small Signal'!$B$63*'Small Signal'!$B$14*'Small Signal'!$B$15)),IMSUM(IMPRODUCT('Small Signal'!$B$12*'Small Signal'!$B$14*('Small Signal'!$B$15+'Small Signal'!$B$39),IMPOWER(M47,2)),IMSUM(IMPRODUCT(M47,('Small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2.6145041090269-0.017992240510948i</v>
      </c>
      <c r="S47" s="195">
        <f t="shared" si="22"/>
        <v>9.1384672787367123</v>
      </c>
      <c r="T47" s="195">
        <f t="shared" si="23"/>
        <v>-0.42463591773977888</v>
      </c>
      <c r="U47" s="195" t="str">
        <f>IMDIV(IMSUM('Small Signal'!$B$75,IMPRODUCT(M47,'Small Signal'!$B$76)),IMSUM(IMPRODUCT('Small Signal'!$B$79,IMPOWER(M47,2)),IMSUM(IMPRODUCT(M47,'Small Signal'!$B$78),'Small Signal'!$B$77)))</f>
        <v>3.06198330023461-0.0161707591887783i</v>
      </c>
      <c r="V47" s="195">
        <f t="shared" si="3"/>
        <v>9.7201774802610093</v>
      </c>
      <c r="W47" s="195">
        <f t="shared" si="4"/>
        <v>-0.30258415827006402</v>
      </c>
      <c r="X47" s="195" t="str">
        <f>IMPRODUCT(IMDIV(IMSUM(IMPRODUCT(M47,'Small Signal'!$B$58*'Small Signal'!$B$6*'Small Signal'!$B$51*'Small Signal'!$B$7*'Small Signal'!$B$8),'Small Signal'!$B$58*'Small Signal'!$B$6*'Small Signal'!$B$51),IMSUM(IMSUM(IMPRODUCT(M47,('Small Signal'!$B$5+'Small Signal'!$B$6)*('Small Signal'!$B$57*'Small Signal'!$B$58)+'Small Signal'!$B$5*'Small Signal'!$B$58*('Small Signal'!$B$8+'Small Signal'!$B$9)+'Small Signal'!$B$6*'Small Signal'!$B$58*('Small Signal'!$B$8+'Small Signal'!$B$9)+'Small Signal'!$B$7*'Small Signal'!$B$8*('Small Signal'!$B$5+'Small Signal'!$B$6)),'Small Signal'!$B$6+'Small Signal'!$B$5),IMPRODUCT(IMPOWER(M47,2),'Small Signal'!$B$57*'Small Signal'!$B$58*'Small Signal'!$B$8*'Small Signal'!$B$7*('Small Signal'!$B$5+'Small Signal'!$B$6)+('Small Signal'!$B$5+'Small Signal'!$B$6)*('Small Signal'!$B$9*'Small Signal'!$B$8*'Small Signal'!$B$58*'Small Signal'!$B$7)))),-1)</f>
        <v>-412.730495362957+116.418166196645i</v>
      </c>
      <c r="Y47" s="195">
        <f t="shared" si="5"/>
        <v>52.645809229544305</v>
      </c>
      <c r="Z47" s="195">
        <f t="shared" si="6"/>
        <v>164.25502019752886</v>
      </c>
      <c r="AA47" s="195" t="str">
        <f t="shared" si="7"/>
        <v>1.00000001234598+0.000123815491372574i</v>
      </c>
      <c r="AB47" s="195" t="str">
        <f t="shared" si="8"/>
        <v>-1179.4641454987+341.987844767504i</v>
      </c>
      <c r="AC47" s="192">
        <f t="shared" si="24"/>
        <v>61.784276508281025</v>
      </c>
      <c r="AD47" s="195">
        <f t="shared" si="25"/>
        <v>163.83038427978909</v>
      </c>
      <c r="AE47" s="195" t="str">
        <f t="shared" si="9"/>
        <v>-1261.89131416817+363.144646188444i</v>
      </c>
      <c r="AF47" s="192">
        <f t="shared" si="10"/>
        <v>62.36598653599097</v>
      </c>
      <c r="AG47" s="195">
        <f t="shared" si="11"/>
        <v>163.94534193428865</v>
      </c>
      <c r="AI47" s="195" t="str">
        <f t="shared" si="12"/>
        <v>0.002-25.1646060522435i</v>
      </c>
      <c r="AJ47" s="195">
        <f t="shared" si="13"/>
        <v>0.22500000000000001</v>
      </c>
      <c r="AK47" s="195" t="str">
        <f t="shared" si="14"/>
        <v>0.0375-50329.212104487i</v>
      </c>
      <c r="AL47" s="195" t="str">
        <f t="shared" si="15"/>
        <v>0.224981836245249-0.0020125960723141i</v>
      </c>
      <c r="AM47" s="195" t="str">
        <f t="shared" si="16"/>
        <v>0.898502495195041-0.000024077695923904i</v>
      </c>
      <c r="AN47" s="195" t="str">
        <f t="shared" si="17"/>
        <v>0.006+0.000273708044057648i</v>
      </c>
      <c r="AO47" s="195" t="str">
        <f t="shared" si="26"/>
        <v>2.86359395209575-0.0212233277963978i</v>
      </c>
      <c r="AP47" s="195">
        <f t="shared" si="27"/>
        <v>9.1384672787367123</v>
      </c>
      <c r="AQ47" s="195">
        <f t="shared" si="28"/>
        <v>-0.42463591773977888</v>
      </c>
      <c r="AS47" s="195" t="str">
        <f t="shared" si="18"/>
        <v>0.921951218815125-0.0000253508330998758i</v>
      </c>
      <c r="AT47" s="195" t="str">
        <f t="shared" si="29"/>
        <v>2.87856560036192-0.0214245091298241i</v>
      </c>
      <c r="AU47" s="195">
        <f t="shared" si="30"/>
        <v>9.1837631931949701</v>
      </c>
      <c r="AV47" s="195">
        <f t="shared" si="31"/>
        <v>-0.42643158297965</v>
      </c>
    </row>
    <row r="48" spans="1:48" x14ac:dyDescent="0.2">
      <c r="A48" s="198" t="s">
        <v>76</v>
      </c>
      <c r="B48" s="200">
        <f>'Design Equations CCM'!B15</f>
        <v>0.1</v>
      </c>
      <c r="C48" s="200"/>
      <c r="D48" s="205"/>
      <c r="F48" s="195">
        <v>46</v>
      </c>
      <c r="G48" s="210">
        <f t="shared" si="0"/>
        <v>168.58812987882163</v>
      </c>
      <c r="H48" s="210">
        <f t="shared" si="1"/>
        <v>168.57881372500071</v>
      </c>
      <c r="I48" s="196">
        <f t="shared" si="2"/>
        <v>1</v>
      </c>
      <c r="J48" s="195">
        <f t="shared" si="19"/>
        <v>1</v>
      </c>
      <c r="K48" s="195">
        <f t="shared" si="20"/>
        <v>1</v>
      </c>
      <c r="L48" s="195">
        <f>10^('Small Signal'!F48/30)</f>
        <v>34.145488738336034</v>
      </c>
      <c r="M48" s="195" t="str">
        <f t="shared" si="21"/>
        <v>214.542433147179i</v>
      </c>
      <c r="N48" s="195">
        <f>IF(D$32=1, IF(AND('Small Signal'!$B$62&gt;=1,FCCM=0),V48+0,S48+0), 0)</f>
        <v>9.1384300163421592</v>
      </c>
      <c r="O48" s="195">
        <f>IF(D$32=1, IF(AND('Small Signal'!$B$62&gt;=1,FCCM=0),W48,T48), 0)</f>
        <v>-0.45851004710314658</v>
      </c>
      <c r="P48" s="195">
        <f>IF(AND('Small Signal'!$B$62&gt;=1,FCCM=0),AF48+0,AC48+0)</f>
        <v>61.729930043089034</v>
      </c>
      <c r="Q48" s="195">
        <f>IF(AND('Small Signal'!$B$62&gt;=1,FCCM=0),AG48,AD48)</f>
        <v>162.61309018550585</v>
      </c>
      <c r="R48" s="195" t="str">
        <f>IMDIV(IMSUM('Small Signal'!$B$2*'Small Signal'!$B$39*'Small Signal'!$B$63,IMPRODUCT(M48,'Small Signal'!$B$2*'Small Signal'!$B$39*'Small Signal'!$B$63*'Small Signal'!$B$14*'Small Signal'!$B$15)),IMSUM(IMPRODUCT('Small Signal'!$B$12*'Small Signal'!$B$14*('Small Signal'!$B$15+'Small Signal'!$B$39),IMPOWER(M48,2)),IMSUM(IMPRODUCT(M48,('Small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2.61448459879297-0.0194274371994431i</v>
      </c>
      <c r="S48" s="195">
        <f t="shared" si="22"/>
        <v>9.1384300163421592</v>
      </c>
      <c r="T48" s="195">
        <f t="shared" si="23"/>
        <v>-0.45851004710314658</v>
      </c>
      <c r="U48" s="195" t="str">
        <f>IMDIV(IMSUM('Small Signal'!$B$75,IMPRODUCT(M48,'Small Signal'!$B$76)),IMSUM(IMPRODUCT('Small Signal'!$B$79,IMPOWER(M48,2)),IMSUM(IMPRODUCT(M48,'Small Signal'!$B$78),'Small Signal'!$B$77)))</f>
        <v>3.06197216957594-0.0174607382418477i</v>
      </c>
      <c r="V48" s="195">
        <f t="shared" si="3"/>
        <v>9.7201660023270424</v>
      </c>
      <c r="W48" s="195">
        <f t="shared" si="4"/>
        <v>-0.32672268372076113</v>
      </c>
      <c r="X48" s="195" t="str">
        <f>IMPRODUCT(IMDIV(IMSUM(IMPRODUCT(M48,'Small Signal'!$B$58*'Small Signal'!$B$6*'Small Signal'!$B$51*'Small Signal'!$B$7*'Small Signal'!$B$8),'Small Signal'!$B$58*'Small Signal'!$B$6*'Small Signal'!$B$51),IMSUM(IMSUM(IMPRODUCT(M48,('Small Signal'!$B$5+'Small Signal'!$B$6)*('Small Signal'!$B$57*'Small Signal'!$B$58)+'Small Signal'!$B$5*'Small Signal'!$B$58*('Small Signal'!$B$8+'Small Signal'!$B$9)+'Small Signal'!$B$6*'Small Signal'!$B$58*('Small Signal'!$B$8+'Small Signal'!$B$9)+'Small Signal'!$B$7*'Small Signal'!$B$8*('Small Signal'!$B$5+'Small Signal'!$B$6)),'Small Signal'!$B$6+'Small Signal'!$B$5),IMPRODUCT(IMPOWER(M48,2),'Small Signal'!$B$57*'Small Signal'!$B$58*'Small Signal'!$B$8*'Small Signal'!$B$7*('Small Signal'!$B$5+'Small Signal'!$B$6)+('Small Signal'!$B$5+'Small Signal'!$B$6)*('Small Signal'!$B$9*'Small Signal'!$B$8*'Small Signal'!$B$58*'Small Signal'!$B$7)))),-1)</f>
        <v>-407.67979328856+124.142907912991i</v>
      </c>
      <c r="Y48" s="195">
        <f t="shared" si="5"/>
        <v>52.591500026746878</v>
      </c>
      <c r="Z48" s="195">
        <f t="shared" si="6"/>
        <v>163.07160023260894</v>
      </c>
      <c r="AA48" s="195" t="str">
        <f t="shared" si="7"/>
        <v>1.00000001439436+0.000133692892074963i</v>
      </c>
      <c r="AB48" s="195" t="str">
        <f t="shared" si="8"/>
        <v>-1164.62296842894+364.67852750671i</v>
      </c>
      <c r="AC48" s="192">
        <f t="shared" si="24"/>
        <v>61.729930043089034</v>
      </c>
      <c r="AD48" s="195">
        <f t="shared" si="25"/>
        <v>162.61309018550585</v>
      </c>
      <c r="AE48" s="195" t="str">
        <f t="shared" si="9"/>
        <v>-1246.13655432839+387.240519236909i</v>
      </c>
      <c r="AF48" s="192">
        <f t="shared" si="10"/>
        <v>62.311665826421205</v>
      </c>
      <c r="AG48" s="195">
        <f t="shared" si="11"/>
        <v>162.73721751057732</v>
      </c>
      <c r="AI48" s="195" t="str">
        <f t="shared" si="12"/>
        <v>0.002-23.3054129509659i</v>
      </c>
      <c r="AJ48" s="195">
        <f t="shared" si="13"/>
        <v>0.22500000000000001</v>
      </c>
      <c r="AK48" s="195" t="str">
        <f t="shared" si="14"/>
        <v>0.0375-46610.8259019318i</v>
      </c>
      <c r="AL48" s="195" t="str">
        <f t="shared" si="15"/>
        <v>0.224978822902919-0.00217312188562725i</v>
      </c>
      <c r="AM48" s="195" t="str">
        <f t="shared" si="16"/>
        <v>0.898502495087991-0.0000259984980216131i</v>
      </c>
      <c r="AN48" s="195" t="str">
        <f t="shared" si="17"/>
        <v>0.006+0.000295543147702747i</v>
      </c>
      <c r="AO48" s="195" t="str">
        <f t="shared" si="26"/>
        <v>2.86356861936932-0.0229162256302003i</v>
      </c>
      <c r="AP48" s="195">
        <f t="shared" si="27"/>
        <v>9.1384300163421592</v>
      </c>
      <c r="AQ48" s="195">
        <f t="shared" si="28"/>
        <v>-0.45851004710314658</v>
      </c>
      <c r="AS48" s="195" t="str">
        <f t="shared" si="18"/>
        <v>0.921951218699472-0.0000273731999221272i</v>
      </c>
      <c r="AT48" s="195" t="str">
        <f t="shared" si="29"/>
        <v>2.87853989045858-0.0231334522245417i</v>
      </c>
      <c r="AU48" s="195">
        <f t="shared" si="30"/>
        <v>9.183725527754607</v>
      </c>
      <c r="AV48" s="195">
        <f t="shared" si="31"/>
        <v>-0.46044894097542766</v>
      </c>
    </row>
    <row r="49" spans="1:48" x14ac:dyDescent="0.2">
      <c r="A49" s="198"/>
      <c r="B49" s="200"/>
      <c r="C49" s="200"/>
      <c r="D49" s="205"/>
      <c r="F49" s="195">
        <v>47</v>
      </c>
      <c r="G49" s="210">
        <f t="shared" si="0"/>
        <v>168.58887307642675</v>
      </c>
      <c r="H49" s="210">
        <f t="shared" si="1"/>
        <v>168.57881372500071</v>
      </c>
      <c r="I49" s="196">
        <f t="shared" si="2"/>
        <v>1</v>
      </c>
      <c r="J49" s="195">
        <f t="shared" si="19"/>
        <v>1</v>
      </c>
      <c r="K49" s="195">
        <f t="shared" si="20"/>
        <v>1</v>
      </c>
      <c r="L49" s="195">
        <f>10^('Small Signal'!F49/30)</f>
        <v>36.869450645195769</v>
      </c>
      <c r="M49" s="195" t="str">
        <f t="shared" si="21"/>
        <v>231.657590577677i</v>
      </c>
      <c r="N49" s="195">
        <f>IF(D$32=1, IF(AND('Small Signal'!$B$62&gt;=1,FCCM=0),V49+0,S49+0), 0)</f>
        <v>9.1383865719823181</v>
      </c>
      <c r="O49" s="195">
        <f>IF(D$32=1, IF(AND('Small Signal'!$B$62&gt;=1,FCCM=0),W49,T49), 0)</f>
        <v>-0.49508616184243526</v>
      </c>
      <c r="P49" s="195">
        <f>IF(AND('Small Signal'!$B$62&gt;=1,FCCM=0),AF49+0,AC49+0)</f>
        <v>61.667412895461936</v>
      </c>
      <c r="Q49" s="195">
        <f>IF(AND('Small Signal'!$B$62&gt;=1,FCCM=0),AG49,AD49)</f>
        <v>161.31602274147312</v>
      </c>
      <c r="R49" s="195" t="str">
        <f>IMDIV(IMSUM('Small Signal'!$B$2*'Small Signal'!$B$39*'Small Signal'!$B$63,IMPRODUCT(M49,'Small Signal'!$B$2*'Small Signal'!$B$39*'Small Signal'!$B$63*'Small Signal'!$B$14*'Small Signal'!$B$15)),IMSUM(IMPRODUCT('Small Signal'!$B$12*'Small Signal'!$B$14*('Small Signal'!$B$15+'Small Signal'!$B$39),IMPOWER(M49,2)),IMSUM(IMPRODUCT(M49,('Small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2.61446185187696-0.0209770914099058i</v>
      </c>
      <c r="S49" s="195">
        <f t="shared" si="22"/>
        <v>9.1383865719823181</v>
      </c>
      <c r="T49" s="195">
        <f t="shared" si="23"/>
        <v>-0.49508616184243526</v>
      </c>
      <c r="U49" s="195" t="str">
        <f>IMDIV(IMSUM('Small Signal'!$B$75,IMPRODUCT(M49,'Small Signal'!$B$76)),IMSUM(IMPRODUCT('Small Signal'!$B$79,IMPOWER(M49,2)),IMSUM(IMPRODUCT(M49,'Small Signal'!$B$78),'Small Signal'!$B$77)))</f>
        <v>3.06195919224631-0.0188536137024547i</v>
      </c>
      <c r="V49" s="195">
        <f t="shared" si="3"/>
        <v>9.7201526200645354</v>
      </c>
      <c r="W49" s="195">
        <f t="shared" si="4"/>
        <v>-0.35278681867392436</v>
      </c>
      <c r="X49" s="195" t="str">
        <f>IMPRODUCT(IMDIV(IMSUM(IMPRODUCT(M49,'Small Signal'!$B$58*'Small Signal'!$B$6*'Small Signal'!$B$51*'Small Signal'!$B$7*'Small Signal'!$B$8),'Small Signal'!$B$58*'Small Signal'!$B$6*'Small Signal'!$B$51),IMSUM(IMSUM(IMPRODUCT(M49,('Small Signal'!$B$5+'Small Signal'!$B$6)*('Small Signal'!$B$57*'Small Signal'!$B$58)+'Small Signal'!$B$5*'Small Signal'!$B$58*('Small Signal'!$B$8+'Small Signal'!$B$9)+'Small Signal'!$B$6*'Small Signal'!$B$58*('Small Signal'!$B$8+'Small Signal'!$B$9)+'Small Signal'!$B$7*'Small Signal'!$B$8*('Small Signal'!$B$5+'Small Signal'!$B$6)),'Small Signal'!$B$6+'Small Signal'!$B$5),IMPRODUCT(IMPOWER(M49,2),'Small Signal'!$B$57*'Small Signal'!$B$58*'Small Signal'!$B$8*'Small Signal'!$B$7*('Small Signal'!$B$5+'Small Signal'!$B$6)+('Small Signal'!$B$5+'Small Signal'!$B$6)*('Small Signal'!$B$9*'Small Signal'!$B$8*'Small Signal'!$B$58*'Small Signal'!$B$7)))),-1)</f>
        <v>-401.947381985334+132.131515462742i</v>
      </c>
      <c r="Y49" s="195">
        <f t="shared" si="5"/>
        <v>52.52902632347962</v>
      </c>
      <c r="Z49" s="195">
        <f t="shared" si="6"/>
        <v>161.81110890331558</v>
      </c>
      <c r="AA49" s="195" t="str">
        <f t="shared" si="7"/>
        <v>1.00000001678259+0.000144358263964657i</v>
      </c>
      <c r="AB49" s="195" t="str">
        <f t="shared" si="8"/>
        <v>-1147.77863446608+388.143917820747i</v>
      </c>
      <c r="AC49" s="192">
        <f t="shared" si="24"/>
        <v>61.667412895461936</v>
      </c>
      <c r="AD49" s="195">
        <f t="shared" si="25"/>
        <v>161.31602274147312</v>
      </c>
      <c r="AE49" s="195" t="str">
        <f t="shared" si="9"/>
        <v>-1228.25532451888+412.159469025243i</v>
      </c>
      <c r="AF49" s="192">
        <f t="shared" si="10"/>
        <v>62.249178707268477</v>
      </c>
      <c r="AG49" s="195">
        <f t="shared" si="11"/>
        <v>161.45005096557492</v>
      </c>
      <c r="AI49" s="195" t="str">
        <f t="shared" si="12"/>
        <v>0.002-21.5835794006648i</v>
      </c>
      <c r="AJ49" s="195">
        <f t="shared" si="13"/>
        <v>0.22500000000000001</v>
      </c>
      <c r="AK49" s="195" t="str">
        <f t="shared" si="14"/>
        <v>0.0375-43167.1588013297i</v>
      </c>
      <c r="AL49" s="195" t="str">
        <f t="shared" si="15"/>
        <v>0.224975309706524-0.00234644606947801i</v>
      </c>
      <c r="AM49" s="195" t="str">
        <f t="shared" si="16"/>
        <v>0.898502494963178-0.0000280725324176642i</v>
      </c>
      <c r="AN49" s="195" t="str">
        <f t="shared" si="17"/>
        <v>0.006+0.000319120150285575i</v>
      </c>
      <c r="AO49" s="195" t="str">
        <f t="shared" si="26"/>
        <v>2.86353908412691-0.0247441237669053i</v>
      </c>
      <c r="AP49" s="195">
        <f t="shared" si="27"/>
        <v>9.1383865719823181</v>
      </c>
      <c r="AQ49" s="195">
        <f t="shared" si="28"/>
        <v>-0.49508616184243526</v>
      </c>
      <c r="AS49" s="195" t="str">
        <f t="shared" si="18"/>
        <v>0.921951218564628-0.0000295569013850207i</v>
      </c>
      <c r="AT49" s="195" t="str">
        <f t="shared" si="29"/>
        <v>2.87850991547442-0.0249786745966328i</v>
      </c>
      <c r="AU49" s="195">
        <f t="shared" si="30"/>
        <v>9.1836816134867192</v>
      </c>
      <c r="AV49" s="195">
        <f t="shared" si="31"/>
        <v>-0.49717970503549802</v>
      </c>
    </row>
    <row r="50" spans="1:48" x14ac:dyDescent="0.2">
      <c r="A50" s="198" t="s">
        <v>207</v>
      </c>
      <c r="B50" s="200">
        <f>LOOKUP('Design Equations CCM'!B$3,partdata!A2:A20,partdata!AE2:AE20)</f>
        <v>1</v>
      </c>
      <c r="C50" s="200"/>
      <c r="D50" s="205"/>
      <c r="F50" s="195">
        <v>48</v>
      </c>
      <c r="G50" s="210">
        <f t="shared" si="0"/>
        <v>168.58967556272114</v>
      </c>
      <c r="H50" s="210">
        <f t="shared" si="1"/>
        <v>168.57881372500071</v>
      </c>
      <c r="I50" s="196">
        <f t="shared" si="2"/>
        <v>1</v>
      </c>
      <c r="J50" s="195">
        <f t="shared" si="19"/>
        <v>1</v>
      </c>
      <c r="K50" s="195">
        <f t="shared" si="20"/>
        <v>1</v>
      </c>
      <c r="L50" s="195">
        <f>10^('Small Signal'!F50/30)</f>
        <v>39.810717055349755</v>
      </c>
      <c r="M50" s="195" t="str">
        <f t="shared" si="21"/>
        <v>250.138112470457i</v>
      </c>
      <c r="N50" s="195">
        <f>IF(D$32=1, IF(AND('Small Signal'!$B$62&gt;=1,FCCM=0),V50+0,S50+0), 0)</f>
        <v>9.1383359201247636</v>
      </c>
      <c r="O50" s="195">
        <f>IF(D$32=1, IF(AND('Small Signal'!$B$62&gt;=1,FCCM=0),W50,T50), 0)</f>
        <v>-0.53457972815515331</v>
      </c>
      <c r="P50" s="195">
        <f>IF(AND('Small Signal'!$B$62&gt;=1,FCCM=0),AF50+0,AC50+0)</f>
        <v>61.595640685201609</v>
      </c>
      <c r="Q50" s="195">
        <f>IF(AND('Small Signal'!$B$62&gt;=1,FCCM=0),AG50,AD50)</f>
        <v>159.93668457243987</v>
      </c>
      <c r="R50" s="195" t="str">
        <f>IMDIV(IMSUM('Small Signal'!$B$2*'Small Signal'!$B$39*'Small Signal'!$B$63,IMPRODUCT(M50,'Small Signal'!$B$2*'Small Signal'!$B$39*'Small Signal'!$B$63*'Small Signal'!$B$14*'Small Signal'!$B$15)),IMSUM(IMPRODUCT('Small Signal'!$B$12*'Small Signal'!$B$14*('Small Signal'!$B$15+'Small Signal'!$B$39),IMPOWER(M50,2)),IMSUM(IMPRODUCT(M50,('Small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2.6144353313913-0.0226503248121633i</v>
      </c>
      <c r="S50" s="195">
        <f t="shared" si="22"/>
        <v>9.1383359201247636</v>
      </c>
      <c r="T50" s="195">
        <f t="shared" si="23"/>
        <v>-0.53457972815515331</v>
      </c>
      <c r="U50" s="195" t="str">
        <f>IMDIV(IMSUM('Small Signal'!$B$75,IMPRODUCT(M50,'Small Signal'!$B$76)),IMSUM(IMPRODUCT('Small Signal'!$B$79,IMPOWER(M50,2)),IMSUM(IMPRODUCT(M50,'Small Signal'!$B$78),'Small Signal'!$B$77)))</f>
        <v>3.06194406187997-0.0203575910720968i</v>
      </c>
      <c r="V50" s="195">
        <f t="shared" si="3"/>
        <v>9.7201370175272412</v>
      </c>
      <c r="W50" s="195">
        <f t="shared" si="4"/>
        <v>-0.38093016721534712</v>
      </c>
      <c r="X50" s="195" t="str">
        <f>IMPRODUCT(IMDIV(IMSUM(IMPRODUCT(M50,'Small Signal'!$B$58*'Small Signal'!$B$6*'Small Signal'!$B$51*'Small Signal'!$B$7*'Small Signal'!$B$8),'Small Signal'!$B$58*'Small Signal'!$B$6*'Small Signal'!$B$51),IMSUM(IMSUM(IMPRODUCT(M50,('Small Signal'!$B$5+'Small Signal'!$B$6)*('Small Signal'!$B$57*'Small Signal'!$B$58)+'Small Signal'!$B$5*'Small Signal'!$B$58*('Small Signal'!$B$8+'Small Signal'!$B$9)+'Small Signal'!$B$6*'Small Signal'!$B$58*('Small Signal'!$B$8+'Small Signal'!$B$9)+'Small Signal'!$B$7*'Small Signal'!$B$8*('Small Signal'!$B$5+'Small Signal'!$B$6)),'Small Signal'!$B$6+'Small Signal'!$B$5),IMPRODUCT(IMPOWER(M50,2),'Small Signal'!$B$57*'Small Signal'!$B$58*'Small Signal'!$B$8*'Small Signal'!$B$7*('Small Signal'!$B$5+'Small Signal'!$B$6)+('Small Signal'!$B$5+'Small Signal'!$B$6)*('Small Signal'!$B$9*'Small Signal'!$B$8*'Small Signal'!$B$58*'Small Signal'!$B$7)))),-1)</f>
        <v>-395.467288991254+140.334964863866i</v>
      </c>
      <c r="Y50" s="195">
        <f t="shared" si="5"/>
        <v>52.457304765076863</v>
      </c>
      <c r="Z50" s="195">
        <f t="shared" si="6"/>
        <v>160.4712643005951</v>
      </c>
      <c r="AA50" s="195" t="str">
        <f t="shared" si="7"/>
        <v>1.00000001956706+0.000155874467556246i</v>
      </c>
      <c r="AB50" s="195" t="str">
        <f t="shared" si="8"/>
        <v>-1128.73728932323+412.2399086286i</v>
      </c>
      <c r="AC50" s="192">
        <f t="shared" si="24"/>
        <v>61.595640685201609</v>
      </c>
      <c r="AD50" s="195">
        <f t="shared" si="25"/>
        <v>159.93668457243987</v>
      </c>
      <c r="AE50" s="195" t="str">
        <f t="shared" si="9"/>
        <v>-1208.04183536672+437.748573690723i</v>
      </c>
      <c r="AF50" s="192">
        <f t="shared" si="10"/>
        <v>62.177441507126886</v>
      </c>
      <c r="AG50" s="195">
        <f t="shared" si="11"/>
        <v>160.08140318450194</v>
      </c>
      <c r="AI50" s="195" t="str">
        <f t="shared" si="12"/>
        <v>0.002-19.9889571030106i</v>
      </c>
      <c r="AJ50" s="195">
        <f t="shared" si="13"/>
        <v>0.22500000000000001</v>
      </c>
      <c r="AK50" s="195" t="str">
        <f t="shared" si="14"/>
        <v>0.0375-39977.9142060212i</v>
      </c>
      <c r="AL50" s="195" t="str">
        <f t="shared" si="15"/>
        <v>0.224971213760019-0.00253358764803684i</v>
      </c>
      <c r="AM50" s="195" t="str">
        <f t="shared" si="16"/>
        <v>0.898502494817655-0.0000303120232433239i</v>
      </c>
      <c r="AN50" s="195" t="str">
        <f t="shared" si="17"/>
        <v>0.006+0.00034457801207665i</v>
      </c>
      <c r="AO50" s="195" t="str">
        <f t="shared" si="26"/>
        <v>2.86350464930755-0.0267177787013185i</v>
      </c>
      <c r="AP50" s="195">
        <f t="shared" si="27"/>
        <v>9.1383359201247636</v>
      </c>
      <c r="AQ50" s="195">
        <f t="shared" si="28"/>
        <v>-0.53457972815515331</v>
      </c>
      <c r="AS50" s="195" t="str">
        <f t="shared" si="18"/>
        <v>0.921951218407412-0.0000319148079854726i</v>
      </c>
      <c r="AT50" s="195" t="str">
        <f t="shared" si="29"/>
        <v>2.87847496797318-0.0269710345023887i</v>
      </c>
      <c r="AU50" s="195">
        <f t="shared" si="30"/>
        <v>9.1836304137686469</v>
      </c>
      <c r="AV50" s="195">
        <f t="shared" si="31"/>
        <v>-0.53684025104691036</v>
      </c>
    </row>
    <row r="51" spans="1:48" x14ac:dyDescent="0.2">
      <c r="A51" s="198" t="s">
        <v>0</v>
      </c>
      <c r="B51" s="201">
        <f>gmea</f>
        <v>1.2999999999999999E-3</v>
      </c>
      <c r="C51" s="200"/>
      <c r="D51" s="205"/>
      <c r="F51" s="195">
        <v>49</v>
      </c>
      <c r="G51" s="210">
        <f t="shared" si="0"/>
        <v>168.59054206746447</v>
      </c>
      <c r="H51" s="210">
        <f t="shared" si="1"/>
        <v>168.57881372500071</v>
      </c>
      <c r="I51" s="196">
        <f t="shared" si="2"/>
        <v>1</v>
      </c>
      <c r="J51" s="195">
        <f t="shared" si="19"/>
        <v>1</v>
      </c>
      <c r="K51" s="195">
        <f t="shared" si="20"/>
        <v>1</v>
      </c>
      <c r="L51" s="195">
        <f>10^('Small Signal'!F51/30)</f>
        <v>42.986623470822771</v>
      </c>
      <c r="M51" s="195" t="str">
        <f t="shared" si="21"/>
        <v>270.092920997135i</v>
      </c>
      <c r="N51" s="195">
        <f>IF(D$32=1, IF(AND('Small Signal'!$B$62&gt;=1,FCCM=0),V51+0,S51+0), 0)</f>
        <v>9.1382768651384936</v>
      </c>
      <c r="O51" s="195">
        <f>IF(D$32=1, IF(AND('Small Signal'!$B$62&gt;=1,FCCM=0),W51,T51), 0)</f>
        <v>-0.5772233790526915</v>
      </c>
      <c r="P51" s="195">
        <f>IF(AND('Small Signal'!$B$62&gt;=1,FCCM=0),AF51+0,AC51+0)</f>
        <v>61.51342977238842</v>
      </c>
      <c r="Q51" s="195">
        <f>IF(AND('Small Signal'!$B$62&gt;=1,FCCM=0),AG51,AD51)</f>
        <v>158.473130820271</v>
      </c>
      <c r="R51" s="195" t="str">
        <f>IMDIV(IMSUM('Small Signal'!$B$2*'Small Signal'!$B$39*'Small Signal'!$B$63,IMPRODUCT(M51,'Small Signal'!$B$2*'Small Signal'!$B$39*'Small Signal'!$B$63*'Small Signal'!$B$14*'Small Signal'!$B$15)),IMSUM(IMPRODUCT('Small Signal'!$B$12*'Small Signal'!$B$14*('Small Signal'!$B$15+'Small Signal'!$B$39),IMPOWER(M51,2)),IMSUM(IMPRODUCT(M51,('Small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2.61440441141576-0.0244569843778257i</v>
      </c>
      <c r="S51" s="195">
        <f t="shared" si="22"/>
        <v>9.1382768651384936</v>
      </c>
      <c r="T51" s="195">
        <f t="shared" si="23"/>
        <v>-0.5772233790526915</v>
      </c>
      <c r="U51" s="195" t="str">
        <f>IMDIV(IMSUM('Small Signal'!$B$75,IMPRODUCT(M51,'Small Signal'!$B$76)),IMSUM(IMPRODUCT('Small Signal'!$B$79,IMPOWER(M51,2)),IMSUM(IMPRODUCT(M51,'Small Signal'!$B$78),'Small Signal'!$B$77)))</f>
        <v>3.06192642128917-0.0219815296510615i</v>
      </c>
      <c r="V51" s="195">
        <f t="shared" si="3"/>
        <v>9.720118826352298</v>
      </c>
      <c r="W51" s="195">
        <f t="shared" si="4"/>
        <v>-0.41131858418596329</v>
      </c>
      <c r="X51" s="195" t="str">
        <f>IMPRODUCT(IMDIV(IMSUM(IMPRODUCT(M51,'Small Signal'!$B$58*'Small Signal'!$B$6*'Small Signal'!$B$51*'Small Signal'!$B$7*'Small Signal'!$B$8),'Small Signal'!$B$58*'Small Signal'!$B$6*'Small Signal'!$B$51),IMSUM(IMSUM(IMPRODUCT(M51,('Small Signal'!$B$5+'Small Signal'!$B$6)*('Small Signal'!$B$57*'Small Signal'!$B$58)+'Small Signal'!$B$5*'Small Signal'!$B$58*('Small Signal'!$B$8+'Small Signal'!$B$9)+'Small Signal'!$B$6*'Small Signal'!$B$58*('Small Signal'!$B$8+'Small Signal'!$B$9)+'Small Signal'!$B$7*'Small Signal'!$B$8*('Small Signal'!$B$5+'Small Signal'!$B$6)),'Small Signal'!$B$6+'Small Signal'!$B$5),IMPRODUCT(IMPOWER(M51,2),'Small Signal'!$B$57*'Small Signal'!$B$58*'Small Signal'!$B$8*'Small Signal'!$B$7*('Small Signal'!$B$5+'Small Signal'!$B$6)+('Small Signal'!$B$5+'Small Signal'!$B$6)*('Small Signal'!$B$9*'Small Signal'!$B$8*'Small Signal'!$B$58*'Small Signal'!$B$7)))),-1)</f>
        <v>-388.175119085206+148.690099421394i</v>
      </c>
      <c r="Y51" s="195">
        <f t="shared" si="5"/>
        <v>52.375152907249941</v>
      </c>
      <c r="Z51" s="195">
        <f t="shared" si="6"/>
        <v>159.05035419932372</v>
      </c>
      <c r="AA51" s="195" t="str">
        <f t="shared" si="7"/>
        <v>1.00000002281352+0.00016830937806825i</v>
      </c>
      <c r="AB51" s="195" t="str">
        <f t="shared" si="8"/>
        <v>-1107.30971392256+436.780860277914i</v>
      </c>
      <c r="AC51" s="192">
        <f t="shared" si="24"/>
        <v>61.51342977238842</v>
      </c>
      <c r="AD51" s="195">
        <f t="shared" si="25"/>
        <v>158.473130820271</v>
      </c>
      <c r="AE51" s="195" t="str">
        <f t="shared" si="9"/>
        <v>-1185.29521738481+463.810826892456i</v>
      </c>
      <c r="AF51" s="192">
        <f t="shared" si="10"/>
        <v>62.095271412419365</v>
      </c>
      <c r="AG51" s="195">
        <f t="shared" si="11"/>
        <v>158.62939219843298</v>
      </c>
      <c r="AI51" s="195" t="str">
        <f t="shared" si="12"/>
        <v>0.002-18.5121475288611i</v>
      </c>
      <c r="AJ51" s="195">
        <f t="shared" si="13"/>
        <v>0.22500000000000001</v>
      </c>
      <c r="AK51" s="195" t="str">
        <f t="shared" si="14"/>
        <v>0.0375-37024.2950577223i</v>
      </c>
      <c r="AL51" s="195" t="str">
        <f t="shared" si="15"/>
        <v>0.224966438426985-0.00273564642898591i</v>
      </c>
      <c r="AM51" s="195" t="str">
        <f t="shared" si="16"/>
        <v>0.898502494647988-0.0000327301698118608i</v>
      </c>
      <c r="AN51" s="195" t="str">
        <f t="shared" si="17"/>
        <v>0.006+0.000372066778924625i</v>
      </c>
      <c r="AO51" s="195" t="str">
        <f t="shared" si="26"/>
        <v>2.8634645022686-0.0288488016186976i</v>
      </c>
      <c r="AP51" s="195">
        <f t="shared" si="27"/>
        <v>9.1382768651384936</v>
      </c>
      <c r="AQ51" s="195">
        <f t="shared" si="28"/>
        <v>-0.5772233790526915</v>
      </c>
      <c r="AS51" s="195" t="str">
        <f t="shared" si="18"/>
        <v>0.921951218224115-0.00003446081696632i</v>
      </c>
      <c r="AT51" s="195" t="str">
        <f t="shared" si="29"/>
        <v>2.87843422321732-0.0291222529369969i</v>
      </c>
      <c r="AU51" s="195">
        <f t="shared" si="30"/>
        <v>9.1835707200401817</v>
      </c>
      <c r="AV51" s="195">
        <f t="shared" si="31"/>
        <v>-0.57966419391945845</v>
      </c>
    </row>
    <row r="52" spans="1:48" x14ac:dyDescent="0.2">
      <c r="A52" s="198" t="s">
        <v>46</v>
      </c>
      <c r="B52" s="200">
        <v>1000</v>
      </c>
      <c r="C52" s="200"/>
      <c r="D52" s="205"/>
      <c r="F52" s="195">
        <v>50</v>
      </c>
      <c r="G52" s="210">
        <f t="shared" si="0"/>
        <v>168.59147769773222</v>
      </c>
      <c r="H52" s="210">
        <f t="shared" si="1"/>
        <v>168.57881372500071</v>
      </c>
      <c r="I52" s="196">
        <f t="shared" si="2"/>
        <v>1</v>
      </c>
      <c r="J52" s="195">
        <f t="shared" si="19"/>
        <v>1</v>
      </c>
      <c r="K52" s="195">
        <f t="shared" si="20"/>
        <v>1</v>
      </c>
      <c r="L52" s="195">
        <f>10^('Small Signal'!F52/30)</f>
        <v>46.415888336127807</v>
      </c>
      <c r="M52" s="195" t="str">
        <f t="shared" si="21"/>
        <v>291.639627613247i</v>
      </c>
      <c r="N52" s="195">
        <f>IF(D$32=1, IF(AND('Small Signal'!$B$62&gt;=1,FCCM=0),V52+0,S52+0), 0)</f>
        <v>9.1382080130906687</v>
      </c>
      <c r="O52" s="195">
        <f>IF(D$32=1, IF(AND('Small Signal'!$B$62&gt;=1,FCCM=0),W52,T52), 0)</f>
        <v>-0.62326827814157115</v>
      </c>
      <c r="P52" s="195">
        <f>IF(AND('Small Signal'!$B$62&gt;=1,FCCM=0),AF52+0,AC52+0)</f>
        <v>61.419501663554421</v>
      </c>
      <c r="Q52" s="195">
        <f>IF(AND('Small Signal'!$B$62&gt;=1,FCCM=0),AG52,AD52)</f>
        <v>156.92411622771718</v>
      </c>
      <c r="R52" s="195" t="str">
        <f>IMDIV(IMSUM('Small Signal'!$B$2*'Small Signal'!$B$39*'Small Signal'!$B$63,IMPRODUCT(M52,'Small Signal'!$B$2*'Small Signal'!$B$39*'Small Signal'!$B$63*'Small Signal'!$B$14*'Small Signal'!$B$15)),IMSUM(IMPRODUCT('Small Signal'!$B$12*'Small Signal'!$B$14*('Small Signal'!$B$15+'Small Signal'!$B$39),IMPOWER(M52,2)),IMSUM(IMPRODUCT(M52,('Small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2.61436836224181-0.0264076996251455i</v>
      </c>
      <c r="S52" s="195">
        <f t="shared" si="22"/>
        <v>9.1382080130906687</v>
      </c>
      <c r="T52" s="195">
        <f t="shared" si="23"/>
        <v>-0.62326827814157115</v>
      </c>
      <c r="U52" s="195" t="str">
        <f>IMDIV(IMSUM('Small Signal'!$B$75,IMPRODUCT(M52,'Small Signal'!$B$76)),IMSUM(IMPRODUCT('Small Signal'!$B$79,IMPOWER(M52,2)),IMSUM(IMPRODUCT(M52,'Small Signal'!$B$78),'Small Signal'!$B$77)))</f>
        <v>3.06190585403507-0.0237349944891446i</v>
      </c>
      <c r="V52" s="195">
        <f t="shared" si="3"/>
        <v>9.7200976170646545</v>
      </c>
      <c r="W52" s="195">
        <f t="shared" si="4"/>
        <v>-0.44413115170185269</v>
      </c>
      <c r="X52" s="195" t="str">
        <f>IMPRODUCT(IMDIV(IMSUM(IMPRODUCT(M52,'Small Signal'!$B$58*'Small Signal'!$B$6*'Small Signal'!$B$51*'Small Signal'!$B$7*'Small Signal'!$B$8),'Small Signal'!$B$58*'Small Signal'!$B$6*'Small Signal'!$B$51),IMSUM(IMSUM(IMPRODUCT(M52,('Small Signal'!$B$5+'Small Signal'!$B$6)*('Small Signal'!$B$57*'Small Signal'!$B$58)+'Small Signal'!$B$5*'Small Signal'!$B$58*('Small Signal'!$B$8+'Small Signal'!$B$9)+'Small Signal'!$B$6*'Small Signal'!$B$58*('Small Signal'!$B$8+'Small Signal'!$B$9)+'Small Signal'!$B$7*'Small Signal'!$B$8*('Small Signal'!$B$5+'Small Signal'!$B$6)),'Small Signal'!$B$6+'Small Signal'!$B$5),IMPRODUCT(IMPOWER(M52,2),'Small Signal'!$B$57*'Small Signal'!$B$58*'Small Signal'!$B$8*'Small Signal'!$B$7*('Small Signal'!$B$5+'Small Signal'!$B$6)+('Small Signal'!$B$5+'Small Signal'!$B$6)*('Small Signal'!$B$9*'Small Signal'!$B$8*'Small Signal'!$B$58*'Small Signal'!$B$7)))),-1)</f>
        <v>-380.010838495951+157.118434802659i</v>
      </c>
      <c r="Y52" s="195">
        <f t="shared" si="5"/>
        <v>52.281293650463766</v>
      </c>
      <c r="Z52" s="195">
        <f t="shared" si="6"/>
        <v>157.54738450585884</v>
      </c>
      <c r="AA52" s="195" t="str">
        <f t="shared" si="7"/>
        <v>1.00000002659861+0.000181736285470941i</v>
      </c>
      <c r="AB52" s="195" t="str">
        <f t="shared" si="8"/>
        <v>-1083.31950577837+461.536088978552i</v>
      </c>
      <c r="AC52" s="192">
        <f t="shared" si="24"/>
        <v>61.419501663554421</v>
      </c>
      <c r="AD52" s="195">
        <f t="shared" si="25"/>
        <v>156.92411622771718</v>
      </c>
      <c r="AE52" s="195" t="str">
        <f t="shared" si="9"/>
        <v>-1159.82820580334+490.101410456606i</v>
      </c>
      <c r="AF52" s="192">
        <f t="shared" si="10"/>
        <v>62.001390893056708</v>
      </c>
      <c r="AG52" s="195">
        <f t="shared" si="11"/>
        <v>157.09284063240662</v>
      </c>
      <c r="AI52" s="195" t="str">
        <f t="shared" si="12"/>
        <v>0.002-17.1444465243614i</v>
      </c>
      <c r="AJ52" s="195">
        <f t="shared" si="13"/>
        <v>0.22500000000000001</v>
      </c>
      <c r="AK52" s="195" t="str">
        <f t="shared" si="14"/>
        <v>0.0375-34288.8930487229i</v>
      </c>
      <c r="AL52" s="195" t="str">
        <f t="shared" si="15"/>
        <v>0.224960871055667-0.00295380931627488i</v>
      </c>
      <c r="AM52" s="195" t="str">
        <f t="shared" si="16"/>
        <v>0.898502494450173-0.0000353412244138348i</v>
      </c>
      <c r="AN52" s="195" t="str">
        <f t="shared" si="17"/>
        <v>0.006+0.000401748466610085i</v>
      </c>
      <c r="AO52" s="195" t="str">
        <f t="shared" si="26"/>
        <v>2.86341769563446-0.031149725695183i</v>
      </c>
      <c r="AP52" s="195">
        <f t="shared" si="27"/>
        <v>9.1382080130906687</v>
      </c>
      <c r="AQ52" s="195">
        <f t="shared" si="28"/>
        <v>-0.62326827814157115</v>
      </c>
      <c r="AS52" s="195" t="str">
        <f t="shared" si="18"/>
        <v>0.921951218010405-0.0000372099342251284i</v>
      </c>
      <c r="AT52" s="195" t="str">
        <f t="shared" si="29"/>
        <v>2.87838671973221-0.0314449815590304i</v>
      </c>
      <c r="AU52" s="195">
        <f t="shared" si="30"/>
        <v>9.1835011232959403</v>
      </c>
      <c r="AV52" s="195">
        <f t="shared" si="31"/>
        <v>-0.62590375703370982</v>
      </c>
    </row>
    <row r="53" spans="1:48" x14ac:dyDescent="0.2">
      <c r="A53" s="198" t="s">
        <v>47</v>
      </c>
      <c r="B53" s="201">
        <f>2*PI()*LOOKUP('Design Equations CCM'!B3,partdata!A2:A20,partdata!R2:R20)</f>
        <v>62831853.071795866</v>
      </c>
      <c r="C53" s="200"/>
      <c r="D53" s="205"/>
      <c r="F53" s="195">
        <v>51</v>
      </c>
      <c r="G53" s="210">
        <f t="shared" si="0"/>
        <v>168.59248796801603</v>
      </c>
      <c r="H53" s="210">
        <f t="shared" si="1"/>
        <v>168.57881372500071</v>
      </c>
      <c r="I53" s="196">
        <f t="shared" si="2"/>
        <v>1</v>
      </c>
      <c r="J53" s="195">
        <f t="shared" si="19"/>
        <v>1</v>
      </c>
      <c r="K53" s="195">
        <f t="shared" si="20"/>
        <v>1</v>
      </c>
      <c r="L53" s="195">
        <f>10^('Small Signal'!F53/30)</f>
        <v>50.118723362727238</v>
      </c>
      <c r="M53" s="195" t="str">
        <f t="shared" si="21"/>
        <v>314.905226247286i</v>
      </c>
      <c r="N53" s="195">
        <f>IF(D$32=1, IF(AND('Small Signal'!$B$62&gt;=1,FCCM=0),V53+0,S53+0), 0)</f>
        <v>9.1381277388710007</v>
      </c>
      <c r="O53" s="195">
        <f>IF(D$32=1, IF(AND('Small Signal'!$B$62&gt;=1,FCCM=0),W53,T53), 0)</f>
        <v>-0.67298559072448483</v>
      </c>
      <c r="P53" s="195">
        <f>IF(AND('Small Signal'!$B$62&gt;=1,FCCM=0),AF53+0,AC53+0)</f>
        <v>61.312492098090402</v>
      </c>
      <c r="Q53" s="195">
        <f>IF(AND('Small Signal'!$B$62&gt;=1,FCCM=0),AG53,AD53)</f>
        <v>155.28925175018452</v>
      </c>
      <c r="R53" s="195" t="str">
        <f>IMDIV(IMSUM('Small Signal'!$B$2*'Small Signal'!$B$39*'Small Signal'!$B$63,IMPRODUCT(M53,'Small Signal'!$B$2*'Small Signal'!$B$39*'Small Signal'!$B$63*'Small Signal'!$B$14*'Small Signal'!$B$15)),IMSUM(IMPRODUCT('Small Signal'!$B$12*'Small Signal'!$B$14*('Small Signal'!$B$15+'Small Signal'!$B$39),IMPOWER(M53,2)),IMSUM(IMPRODUCT(M53,('Small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2.61432633317445-0.0285139442711687i</v>
      </c>
      <c r="S53" s="195">
        <f t="shared" si="22"/>
        <v>9.1381277388710007</v>
      </c>
      <c r="T53" s="195">
        <f t="shared" si="23"/>
        <v>-0.67298559072448483</v>
      </c>
      <c r="U53" s="195" t="str">
        <f>IMDIV(IMSUM('Small Signal'!$B$75,IMPRODUCT(M53,'Small Signal'!$B$76)),IMSUM(IMPRODUCT('Small Signal'!$B$79,IMPOWER(M53,2)),IMSUM(IMPRODUCT(M53,'Small Signal'!$B$78),'Small Signal'!$B$77)))</f>
        <v>3.06188187460131-0.0256283124273717i</v>
      </c>
      <c r="V53" s="195">
        <f t="shared" si="3"/>
        <v>9.7200728889394483</v>
      </c>
      <c r="W53" s="195">
        <f t="shared" si="4"/>
        <v>-0.47956123337279366</v>
      </c>
      <c r="X53" s="195" t="str">
        <f>IMPRODUCT(IMDIV(IMSUM(IMPRODUCT(M53,'Small Signal'!$B$58*'Small Signal'!$B$6*'Small Signal'!$B$51*'Small Signal'!$B$7*'Small Signal'!$B$8),'Small Signal'!$B$58*'Small Signal'!$B$6*'Small Signal'!$B$51),IMSUM(IMSUM(IMPRODUCT(M53,('Small Signal'!$B$5+'Small Signal'!$B$6)*('Small Signal'!$B$57*'Small Signal'!$B$58)+'Small Signal'!$B$5*'Small Signal'!$B$58*('Small Signal'!$B$8+'Small Signal'!$B$9)+'Small Signal'!$B$6*'Small Signal'!$B$58*('Small Signal'!$B$8+'Small Signal'!$B$9)+'Small Signal'!$B$7*'Small Signal'!$B$8*('Small Signal'!$B$5+'Small Signal'!$B$6)),'Small Signal'!$B$6+'Small Signal'!$B$5),IMPRODUCT(IMPOWER(M53,2),'Small Signal'!$B$57*'Small Signal'!$B$58*'Small Signal'!$B$8*'Small Signal'!$B$7*('Small Signal'!$B$5+'Small Signal'!$B$6)+('Small Signal'!$B$5+'Small Signal'!$B$6)*('Small Signal'!$B$9*'Small Signal'!$B$8*'Small Signal'!$B$58*'Small Signal'!$B$7)))),-1)</f>
        <v>-370.922163163166+165.525477237522i</v>
      </c>
      <c r="Y53" s="195">
        <f t="shared" si="5"/>
        <v>52.174364359219375</v>
      </c>
      <c r="Z53" s="195">
        <f t="shared" si="6"/>
        <v>155.96223734090893</v>
      </c>
      <c r="AA53" s="195" t="str">
        <f t="shared" si="7"/>
        <v>1.0000000310117+0.000196234326447801i</v>
      </c>
      <c r="AB53" s="195" t="str">
        <f t="shared" si="8"/>
        <v>-1056.61303537947+486.227863009662i</v>
      </c>
      <c r="AC53" s="192">
        <f t="shared" si="24"/>
        <v>61.312492098090402</v>
      </c>
      <c r="AD53" s="195">
        <f t="shared" si="25"/>
        <v>155.28925175018452</v>
      </c>
      <c r="AE53" s="195" t="str">
        <f t="shared" si="9"/>
        <v>-1131.47770963187+516.325567622083i</v>
      </c>
      <c r="AF53" s="192">
        <f t="shared" si="10"/>
        <v>61.894436811556886</v>
      </c>
      <c r="AG53" s="195">
        <f t="shared" si="11"/>
        <v>155.47143270932801</v>
      </c>
      <c r="AI53" s="195" t="str">
        <f t="shared" si="12"/>
        <v>0.002-15.8777930096138i</v>
      </c>
      <c r="AJ53" s="195">
        <f t="shared" si="13"/>
        <v>0.22500000000000001</v>
      </c>
      <c r="AK53" s="195" t="str">
        <f t="shared" si="14"/>
        <v>0.0375-31755.5860192275i</v>
      </c>
      <c r="AL53" s="195" t="str">
        <f t="shared" si="15"/>
        <v>0.224954380328278-0.00318935709241328i</v>
      </c>
      <c r="AM53" s="195" t="str">
        <f t="shared" si="16"/>
        <v>0.898502494219537-0.0000381605763185132i</v>
      </c>
      <c r="AN53" s="195" t="str">
        <f t="shared" si="17"/>
        <v>0.006+0.000433798015748812i</v>
      </c>
      <c r="AO53" s="195" t="str">
        <f t="shared" si="26"/>
        <v>2.86336312497703-0.0336340785388149i</v>
      </c>
      <c r="AP53" s="195">
        <f t="shared" si="27"/>
        <v>9.1381277388710007</v>
      </c>
      <c r="AQ53" s="195">
        <f t="shared" si="28"/>
        <v>-0.67298559072448483</v>
      </c>
      <c r="AS53" s="195" t="str">
        <f t="shared" si="18"/>
        <v>0.921951217761234-0.0000401783627572827i</v>
      </c>
      <c r="AT53" s="195" t="str">
        <f t="shared" si="29"/>
        <v>2.8783313366548-0.0339528758006556i</v>
      </c>
      <c r="AU53" s="195">
        <f t="shared" si="30"/>
        <v>9.1834199808541985</v>
      </c>
      <c r="AV53" s="195">
        <f t="shared" si="31"/>
        <v>-0.67583124943679063</v>
      </c>
    </row>
    <row r="54" spans="1:48" x14ac:dyDescent="0.2">
      <c r="A54" s="198" t="s">
        <v>42</v>
      </c>
      <c r="B54" s="200">
        <f>1/'Design Equations CCM'!B162</f>
        <v>6.25E-2</v>
      </c>
      <c r="C54" s="200"/>
      <c r="D54" s="205"/>
      <c r="F54" s="195">
        <v>52</v>
      </c>
      <c r="G54" s="210">
        <f t="shared" si="0"/>
        <v>168.59357883272486</v>
      </c>
      <c r="H54" s="210">
        <f t="shared" si="1"/>
        <v>168.57881372500071</v>
      </c>
      <c r="I54" s="196">
        <f t="shared" si="2"/>
        <v>1</v>
      </c>
      <c r="J54" s="195">
        <f t="shared" si="19"/>
        <v>1</v>
      </c>
      <c r="K54" s="195">
        <f t="shared" si="20"/>
        <v>1</v>
      </c>
      <c r="L54" s="195">
        <f>10^('Small Signal'!F54/30)</f>
        <v>54.11695265464639</v>
      </c>
      <c r="M54" s="195" t="str">
        <f t="shared" si="21"/>
        <v>340.026841789008i</v>
      </c>
      <c r="N54" s="195">
        <f>IF(D$32=1, IF(AND('Small Signal'!$B$62&gt;=1,FCCM=0),V54+0,S54+0), 0)</f>
        <v>9.1380341478707159</v>
      </c>
      <c r="O54" s="195">
        <f>IF(D$32=1, IF(AND('Small Signal'!$B$62&gt;=1,FCCM=0),W54,T54), 0)</f>
        <v>-0.72666807040076142</v>
      </c>
      <c r="P54" s="195">
        <f>IF(AND('Small Signal'!$B$62&gt;=1,FCCM=0),AF54+0,AC54+0)</f>
        <v>61.190965688916449</v>
      </c>
      <c r="Q54" s="195">
        <f>IF(AND('Small Signal'!$B$62&gt;=1,FCCM=0),AG54,AD54)</f>
        <v>153.56916438933919</v>
      </c>
      <c r="R54" s="195" t="str">
        <f>IMDIV(IMSUM('Small Signal'!$B$2*'Small Signal'!$B$39*'Small Signal'!$B$63,IMPRODUCT(M54,'Small Signal'!$B$2*'Small Signal'!$B$39*'Small Signal'!$B$63*'Small Signal'!$B$14*'Small Signal'!$B$15)),IMSUM(IMPRODUCT('Small Signal'!$B$12*'Small Signal'!$B$14*('Small Signal'!$B$15+'Small Signal'!$B$39),IMPOWER(M54,2)),IMSUM(IMPRODUCT(M54,('Small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2.61427733248855-0.0307881026015503i</v>
      </c>
      <c r="S54" s="195">
        <f t="shared" si="22"/>
        <v>9.1380341478707159</v>
      </c>
      <c r="T54" s="195">
        <f t="shared" si="23"/>
        <v>-0.72666807040076142</v>
      </c>
      <c r="U54" s="195" t="str">
        <f>IMDIV(IMSUM('Small Signal'!$B$75,IMPRODUCT(M54,'Small Signal'!$B$76)),IMSUM(IMPRODUCT('Small Signal'!$B$79,IMPOWER(M54,2)),IMSUM(IMPRODUCT(M54,'Small Signal'!$B$78),'Small Signal'!$B$77)))</f>
        <v>3.0618539169386-0.027672632543272i</v>
      </c>
      <c r="V54" s="195">
        <f t="shared" si="3"/>
        <v>9.7200440581826371</v>
      </c>
      <c r="W54" s="195">
        <f t="shared" si="4"/>
        <v>-0.51781761236516843</v>
      </c>
      <c r="X54" s="195" t="str">
        <f>IMPRODUCT(IMDIV(IMSUM(IMPRODUCT(M54,'Small Signal'!$B$58*'Small Signal'!$B$6*'Small Signal'!$B$51*'Small Signal'!$B$7*'Small Signal'!$B$8),'Small Signal'!$B$58*'Small Signal'!$B$6*'Small Signal'!$B$51),IMSUM(IMSUM(IMPRODUCT(M54,('Small Signal'!$B$5+'Small Signal'!$B$6)*('Small Signal'!$B$57*'Small Signal'!$B$58)+'Small Signal'!$B$5*'Small Signal'!$B$58*('Small Signal'!$B$8+'Small Signal'!$B$9)+'Small Signal'!$B$6*'Small Signal'!$B$58*('Small Signal'!$B$8+'Small Signal'!$B$9)+'Small Signal'!$B$7*'Small Signal'!$B$8*('Small Signal'!$B$5+'Small Signal'!$B$6)),'Small Signal'!$B$6+'Small Signal'!$B$5),IMPRODUCT(IMPOWER(M54,2),'Small Signal'!$B$57*'Small Signal'!$B$58*'Small Signal'!$B$8*'Small Signal'!$B$7*('Small Signal'!$B$5+'Small Signal'!$B$6)+('Small Signal'!$B$5+'Small Signal'!$B$6)*('Small Signal'!$B$9*'Small Signal'!$B$8*'Small Signal'!$B$58*'Small Signal'!$B$7)))),-1)</f>
        <v>-360.868483396137+173.8007926352i</v>
      </c>
      <c r="Y54" s="195">
        <f t="shared" si="5"/>
        <v>52.052931541045766</v>
      </c>
      <c r="Z54" s="195">
        <f t="shared" si="6"/>
        <v>154.29583245974007</v>
      </c>
      <c r="AA54" s="195" t="str">
        <f t="shared" si="7"/>
        <v>1.00000003615699+0.000211888950816445i</v>
      </c>
      <c r="AB54" s="195" t="str">
        <f t="shared" si="8"/>
        <v>-1027.07097877304+510.531605440164i</v>
      </c>
      <c r="AC54" s="192">
        <f t="shared" si="24"/>
        <v>61.190965688916449</v>
      </c>
      <c r="AD54" s="195">
        <f t="shared" si="25"/>
        <v>153.56916438933919</v>
      </c>
      <c r="AE54" s="195" t="str">
        <f t="shared" si="9"/>
        <v>-1100.11705391583+542.13881863459i</v>
      </c>
      <c r="AF54" s="192">
        <f t="shared" si="10"/>
        <v>61.77297509018792</v>
      </c>
      <c r="AG54" s="195">
        <f t="shared" si="11"/>
        <v>153.76587450538827</v>
      </c>
      <c r="AI54" s="195" t="str">
        <f t="shared" si="12"/>
        <v>0.002-14.7047214675557i</v>
      </c>
      <c r="AJ54" s="195">
        <f t="shared" si="13"/>
        <v>0.22500000000000001</v>
      </c>
      <c r="AK54" s="195" t="str">
        <f t="shared" si="14"/>
        <v>0.0375-29409.4429351114i</v>
      </c>
      <c r="AL54" s="195" t="str">
        <f t="shared" si="15"/>
        <v>0.224946813172846-0.00344367169896065i</v>
      </c>
      <c r="AM54" s="195" t="str">
        <f t="shared" si="16"/>
        <v>0.898502493950633-0.0000412048424765098i</v>
      </c>
      <c r="AN54" s="195" t="str">
        <f t="shared" si="17"/>
        <v>0.006+0.000468404322872613i</v>
      </c>
      <c r="AO54" s="195" t="str">
        <f t="shared" si="26"/>
        <v>2.86329950280545-0.0363164601222117i</v>
      </c>
      <c r="AP54" s="195">
        <f t="shared" si="27"/>
        <v>9.1380341478707159</v>
      </c>
      <c r="AQ54" s="195">
        <f t="shared" si="28"/>
        <v>-0.72666807040076142</v>
      </c>
      <c r="AS54" s="195" t="str">
        <f t="shared" si="18"/>
        <v>0.921951217470724-0.0000433835981546363i</v>
      </c>
      <c r="AT54" s="195" t="str">
        <f t="shared" si="29"/>
        <v>2.87826676733709-0.0366606735170286i</v>
      </c>
      <c r="AU54" s="195">
        <f t="shared" si="30"/>
        <v>9.1833253776222552</v>
      </c>
      <c r="AV54" s="195">
        <f t="shared" si="31"/>
        <v>-0.72974065899327101</v>
      </c>
    </row>
    <row r="55" spans="1:48" x14ac:dyDescent="0.2">
      <c r="A55" s="198" t="s">
        <v>45</v>
      </c>
      <c r="B55" s="201">
        <f>IF(B3/B2&gt;0.1,'Design Equations CCM'!B163*fsw_ss*Ri,0)*1</f>
        <v>393750</v>
      </c>
      <c r="C55" s="200"/>
      <c r="D55" s="205"/>
      <c r="F55" s="195">
        <v>53</v>
      </c>
      <c r="G55" s="210">
        <f t="shared" si="0"/>
        <v>168.59475672127883</v>
      </c>
      <c r="H55" s="210">
        <f t="shared" si="1"/>
        <v>168.57881372500071</v>
      </c>
      <c r="I55" s="196">
        <f t="shared" si="2"/>
        <v>1</v>
      </c>
      <c r="J55" s="195">
        <f t="shared" si="19"/>
        <v>1</v>
      </c>
      <c r="K55" s="195">
        <f t="shared" si="20"/>
        <v>1</v>
      </c>
      <c r="L55" s="195">
        <f>10^('Small Signal'!F55/30)</f>
        <v>58.434141337351775</v>
      </c>
      <c r="M55" s="195" t="str">
        <f t="shared" si="21"/>
        <v>367.152538288504i</v>
      </c>
      <c r="N55" s="195">
        <f>IF(D$32=1, IF(AND('Small Signal'!$B$62&gt;=1,FCCM=0),V55+0,S55+0), 0)</f>
        <v>9.1379250313152696</v>
      </c>
      <c r="O55" s="195">
        <f>IF(D$32=1, IF(AND('Small Signal'!$B$62&gt;=1,FCCM=0),W55,T55), 0)</f>
        <v>-0.78463176989978001</v>
      </c>
      <c r="P55" s="195">
        <f>IF(AND('Small Signal'!$B$62&gt;=1,FCCM=0),AF55+0,AC55+0)</f>
        <v>61.053436823847569</v>
      </c>
      <c r="Q55" s="195">
        <f>IF(AND('Small Signal'!$B$62&gt;=1,FCCM=0),AG55,AD55)</f>
        <v>151.76565149336886</v>
      </c>
      <c r="R55" s="195" t="str">
        <f>IMDIV(IMSUM('Small Signal'!$B$2*'Small Signal'!$B$39*'Small Signal'!$B$63,IMPRODUCT(M55,'Small Signal'!$B$2*'Small Signal'!$B$39*'Small Signal'!$B$63*'Small Signal'!$B$14*'Small Signal'!$B$15)),IMSUM(IMPRODUCT('Small Signal'!$B$12*'Small Signal'!$B$14*('Small Signal'!$B$15+'Small Signal'!$B$39),IMPOWER(M55,2)),IMSUM(IMPRODUCT(M55,('Small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2.61422020407026-0.0332435408825184i</v>
      </c>
      <c r="S55" s="195">
        <f t="shared" si="22"/>
        <v>9.1379250313152696</v>
      </c>
      <c r="T55" s="195">
        <f t="shared" si="23"/>
        <v>-0.78463176989978001</v>
      </c>
      <c r="U55" s="195" t="str">
        <f>IMDIV(IMSUM('Small Signal'!$B$75,IMPRODUCT(M55,'Small Signal'!$B$76)),IMSUM(IMPRODUCT('Small Signal'!$B$79,IMPOWER(M55,2)),IMSUM(IMPRODUCT(M55,'Small Signal'!$B$78),'Small Signal'!$B$77)))</f>
        <v>3.06182132111089-0.0298799913336055i</v>
      </c>
      <c r="V55" s="195">
        <f t="shared" si="3"/>
        <v>9.7200104441519208</v>
      </c>
      <c r="W55" s="195">
        <f t="shared" si="4"/>
        <v>-0.55912571993146365</v>
      </c>
      <c r="X55" s="195" t="str">
        <f>IMPRODUCT(IMDIV(IMSUM(IMPRODUCT(M55,'Small Signal'!$B$58*'Small Signal'!$B$6*'Small Signal'!$B$51*'Small Signal'!$B$7*'Small Signal'!$B$8),'Small Signal'!$B$58*'Small Signal'!$B$6*'Small Signal'!$B$51),IMSUM(IMSUM(IMPRODUCT(M55,('Small Signal'!$B$5+'Small Signal'!$B$6)*('Small Signal'!$B$57*'Small Signal'!$B$58)+'Small Signal'!$B$5*'Small Signal'!$B$58*('Small Signal'!$B$8+'Small Signal'!$B$9)+'Small Signal'!$B$6*'Small Signal'!$B$58*('Small Signal'!$B$8+'Small Signal'!$B$9)+'Small Signal'!$B$7*'Small Signal'!$B$8*('Small Signal'!$B$5+'Small Signal'!$B$6)),'Small Signal'!$B$6+'Small Signal'!$B$5),IMPRODUCT(IMPOWER(M55,2),'Small Signal'!$B$57*'Small Signal'!$B$58*'Small Signal'!$B$8*'Small Signal'!$B$7*('Small Signal'!$B$5+'Small Signal'!$B$6)+('Small Signal'!$B$5+'Small Signal'!$B$6)*('Small Signal'!$B$9*'Small Signal'!$B$8*'Small Signal'!$B$58*'Small Signal'!$B$7)))),-1)</f>
        <v>-349.825168270273+181.819074009891i</v>
      </c>
      <c r="Y55" s="195">
        <f t="shared" si="5"/>
        <v>51.9155117925323</v>
      </c>
      <c r="Z55" s="195">
        <f t="shared" si="6"/>
        <v>152.55028326326865</v>
      </c>
      <c r="AA55" s="195" t="str">
        <f t="shared" si="7"/>
        <v>1.00000004215596+0.00022879242515794i</v>
      </c>
      <c r="AB55" s="195" t="str">
        <f t="shared" si="8"/>
        <v>-994.620966014092+534.079030313457i</v>
      </c>
      <c r="AC55" s="192">
        <f t="shared" si="24"/>
        <v>61.053436823847569</v>
      </c>
      <c r="AD55" s="195">
        <f t="shared" si="25"/>
        <v>151.76565149336886</v>
      </c>
      <c r="AE55" s="195" t="str">
        <f t="shared" si="9"/>
        <v>-1065.66940651543+567.150290384316i</v>
      </c>
      <c r="AF55" s="192">
        <f t="shared" si="10"/>
        <v>61.635521643186578</v>
      </c>
      <c r="AG55" s="195">
        <f t="shared" si="11"/>
        <v>151.97804870377249</v>
      </c>
      <c r="AI55" s="195" t="str">
        <f t="shared" si="12"/>
        <v>0.002-13.6183179430209i</v>
      </c>
      <c r="AJ55" s="195">
        <f t="shared" si="13"/>
        <v>0.22500000000000001</v>
      </c>
      <c r="AK55" s="195" t="str">
        <f t="shared" si="14"/>
        <v>0.0375-27236.6358860418i</v>
      </c>
      <c r="AL55" s="195" t="str">
        <f t="shared" si="15"/>
        <v>0.22493799116584-0.00371824404389555i</v>
      </c>
      <c r="AM55" s="195" t="str">
        <f t="shared" si="16"/>
        <v>0.898502493637117-0.0000444919654582362i</v>
      </c>
      <c r="AN55" s="195" t="str">
        <f t="shared" si="17"/>
        <v>0.006+0.000505771353764776i</v>
      </c>
      <c r="AO55" s="195" t="str">
        <f t="shared" si="26"/>
        <v>2.86322532825701-0.0392126265707586i</v>
      </c>
      <c r="AP55" s="195">
        <f t="shared" si="27"/>
        <v>9.1379250313152696</v>
      </c>
      <c r="AQ55" s="195">
        <f t="shared" si="28"/>
        <v>-0.78463176989978001</v>
      </c>
      <c r="AS55" s="195" t="str">
        <f t="shared" si="18"/>
        <v>0.921951217132014-0.0000468445317225724i</v>
      </c>
      <c r="AT55" s="195" t="str">
        <f t="shared" si="29"/>
        <v>2.87819148858713-0.0395842795410089i</v>
      </c>
      <c r="AU55" s="195">
        <f t="shared" si="30"/>
        <v>9.1832150809471571</v>
      </c>
      <c r="AV55" s="195">
        <f t="shared" si="31"/>
        <v>-0.78794937025319545</v>
      </c>
    </row>
    <row r="56" spans="1:48" x14ac:dyDescent="0.2">
      <c r="A56" s="198"/>
      <c r="B56" s="200"/>
      <c r="C56" s="200"/>
      <c r="D56" s="205"/>
      <c r="F56" s="195">
        <v>54</v>
      </c>
      <c r="G56" s="210">
        <f t="shared" si="0"/>
        <v>168.59602857600271</v>
      </c>
      <c r="H56" s="210">
        <f t="shared" si="1"/>
        <v>168.57881372500071</v>
      </c>
      <c r="I56" s="196">
        <f t="shared" si="2"/>
        <v>1</v>
      </c>
      <c r="J56" s="195">
        <f t="shared" si="19"/>
        <v>1</v>
      </c>
      <c r="K56" s="195">
        <f t="shared" si="20"/>
        <v>1</v>
      </c>
      <c r="L56" s="195">
        <f>10^('Small Signal'!F56/30)</f>
        <v>63.095734448019364</v>
      </c>
      <c r="M56" s="195" t="str">
        <f t="shared" si="21"/>
        <v>396.4421916295i</v>
      </c>
      <c r="N56" s="195">
        <f>IF(D$32=1, IF(AND('Small Signal'!$B$62&gt;=1,FCCM=0),V56+0,S56+0), 0)</f>
        <v>9.1377978142040845</v>
      </c>
      <c r="O56" s="195">
        <f>IF(D$32=1, IF(AND('Small Signal'!$B$62&gt;=1,FCCM=0),W56,T56), 0)</f>
        <v>-0.84721788545344545</v>
      </c>
      <c r="P56" s="195">
        <f>IF(AND('Small Signal'!$B$62&gt;=1,FCCM=0),AF56+0,AC56+0)</f>
        <v>60.898397218166778</v>
      </c>
      <c r="Q56" s="195">
        <f>IF(AND('Small Signal'!$B$62&gt;=1,FCCM=0),AG56,AD56)</f>
        <v>149.88181838007912</v>
      </c>
      <c r="R56" s="195" t="str">
        <f>IMDIV(IMSUM('Small Signal'!$B$2*'Small Signal'!$B$39*'Small Signal'!$B$63,IMPRODUCT(M56,'Small Signal'!$B$2*'Small Signal'!$B$39*'Small Signal'!$B$63*'Small Signal'!$B$14*'Small Signal'!$B$15)),IMSUM(IMPRODUCT('Small Signal'!$B$12*'Small Signal'!$B$14*('Small Signal'!$B$15+'Small Signal'!$B$39),IMPOWER(M56,2)),IMSUM(IMPRODUCT(M56,('Small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2.6141536001975-0.035894684151975i</v>
      </c>
      <c r="S56" s="195">
        <f t="shared" si="22"/>
        <v>9.1377978142040845</v>
      </c>
      <c r="T56" s="195">
        <f t="shared" si="23"/>
        <v>-0.84721788545344545</v>
      </c>
      <c r="U56" s="195" t="str">
        <f>IMDIV(IMSUM('Small Signal'!$B$75,IMPRODUCT(M56,'Small Signal'!$B$76)),IMSUM(IMPRODUCT('Small Signal'!$B$79,IMPOWER(M56,2)),IMSUM(IMPRODUCT(M56,'Small Signal'!$B$78),'Small Signal'!$B$77)))</f>
        <v>3.06178331772852-0.0322633829905976i</v>
      </c>
      <c r="V56" s="195">
        <f t="shared" si="3"/>
        <v>9.7199712532921367</v>
      </c>
      <c r="W56" s="195">
        <f t="shared" si="4"/>
        <v>-0.60372896154008682</v>
      </c>
      <c r="X56" s="195" t="str">
        <f>IMPRODUCT(IMDIV(IMSUM(IMPRODUCT(M56,'Small Signal'!$B$58*'Small Signal'!$B$6*'Small Signal'!$B$51*'Small Signal'!$B$7*'Small Signal'!$B$8),'Small Signal'!$B$58*'Small Signal'!$B$6*'Small Signal'!$B$51),IMSUM(IMSUM(IMPRODUCT(M56,('Small Signal'!$B$5+'Small Signal'!$B$6)*('Small Signal'!$B$57*'Small Signal'!$B$58)+'Small Signal'!$B$5*'Small Signal'!$B$58*('Small Signal'!$B$8+'Small Signal'!$B$9)+'Small Signal'!$B$6*'Small Signal'!$B$58*('Small Signal'!$B$8+'Small Signal'!$B$9)+'Small Signal'!$B$7*'Small Signal'!$B$8*('Small Signal'!$B$5+'Small Signal'!$B$6)),'Small Signal'!$B$6+'Small Signal'!$B$5),IMPRODUCT(IMPOWER(M56,2),'Small Signal'!$B$57*'Small Signal'!$B$58*'Small Signal'!$B$8*'Small Signal'!$B$7*('Small Signal'!$B$5+'Small Signal'!$B$6)+('Small Signal'!$B$5+'Small Signal'!$B$6)*('Small Signal'!$B$9*'Small Signal'!$B$8*'Small Signal'!$B$58*'Small Signal'!$B$7)))),-1)</f>
        <v>-337.787987981983+189.442430794628i</v>
      </c>
      <c r="Y56" s="195">
        <f t="shared" si="5"/>
        <v>51.760599403962694</v>
      </c>
      <c r="Z56" s="195">
        <f t="shared" si="6"/>
        <v>150.72903626553259</v>
      </c>
      <c r="AA56" s="195" t="str">
        <f t="shared" si="7"/>
        <v>1.00000004915024+0.000247044376622731i</v>
      </c>
      <c r="AB56" s="195" t="str">
        <f t="shared" si="8"/>
        <v>-959.250576254742+556.464869274321i</v>
      </c>
      <c r="AC56" s="192">
        <f t="shared" si="24"/>
        <v>60.898397218166778</v>
      </c>
      <c r="AD56" s="195">
        <f t="shared" si="25"/>
        <v>149.88181838007912</v>
      </c>
      <c r="AE56" s="195" t="str">
        <f t="shared" si="9"/>
        <v>-1028.12157283292+590.929857502818i</v>
      </c>
      <c r="AF56" s="192">
        <f t="shared" si="10"/>
        <v>61.48056996528738</v>
      </c>
      <c r="AG56" s="195">
        <f t="shared" si="11"/>
        <v>150.11115270484322</v>
      </c>
      <c r="AI56" s="195" t="str">
        <f t="shared" si="12"/>
        <v>0.002-12.612179292644i</v>
      </c>
      <c r="AJ56" s="195">
        <f t="shared" si="13"/>
        <v>0.22500000000000001</v>
      </c>
      <c r="AK56" s="195" t="str">
        <f t="shared" si="14"/>
        <v>0.0375-25224.3585852881i</v>
      </c>
      <c r="AL56" s="195" t="str">
        <f t="shared" si="15"/>
        <v>0.224927706342245-0.00401468236398615i</v>
      </c>
      <c r="AM56" s="195" t="str">
        <f t="shared" si="16"/>
        <v>0.898502493271585-0.0000480413192054017i</v>
      </c>
      <c r="AN56" s="195" t="str">
        <f t="shared" si="17"/>
        <v>0.006+0.000546119345612066i</v>
      </c>
      <c r="AO56" s="195" t="str">
        <f t="shared" si="26"/>
        <v>2.86313885178264-0.0423395801800374i</v>
      </c>
      <c r="AP56" s="195">
        <f t="shared" si="27"/>
        <v>9.1377978142040845</v>
      </c>
      <c r="AQ56" s="195">
        <f t="shared" si="28"/>
        <v>-0.84721788545344545</v>
      </c>
      <c r="AS56" s="195" t="str">
        <f t="shared" si="18"/>
        <v>0.92195121673711-0.0000505815618232404i</v>
      </c>
      <c r="AT56" s="195" t="str">
        <f t="shared" si="29"/>
        <v>2.87810372483028-0.0427408565189915i</v>
      </c>
      <c r="AU56" s="195">
        <f t="shared" si="30"/>
        <v>9.1830864879931209</v>
      </c>
      <c r="AV56" s="195">
        <f t="shared" si="31"/>
        <v>-0.85080001637211622</v>
      </c>
    </row>
    <row r="57" spans="1:48" x14ac:dyDescent="0.2">
      <c r="A57" s="198" t="s">
        <v>55</v>
      </c>
      <c r="B57" s="201">
        <f>B51/B53</f>
        <v>2.0690142601946392E-11</v>
      </c>
      <c r="C57" s="201"/>
      <c r="D57" s="206"/>
      <c r="F57" s="195">
        <v>55</v>
      </c>
      <c r="G57" s="210">
        <f t="shared" si="0"/>
        <v>168.59740189304216</v>
      </c>
      <c r="H57" s="210">
        <f t="shared" si="1"/>
        <v>168.57881372500071</v>
      </c>
      <c r="I57" s="196">
        <f t="shared" si="2"/>
        <v>1</v>
      </c>
      <c r="J57" s="195">
        <f t="shared" si="19"/>
        <v>1</v>
      </c>
      <c r="K57" s="195">
        <f t="shared" si="20"/>
        <v>1</v>
      </c>
      <c r="L57" s="195">
        <f>10^('Small Signal'!F57/30)</f>
        <v>68.129206905796124</v>
      </c>
      <c r="M57" s="195" t="str">
        <f t="shared" si="21"/>
        <v>428.068431820296i</v>
      </c>
      <c r="N57" s="195">
        <f>IF(D$32=1, IF(AND('Small Signal'!$B$62&gt;=1,FCCM=0),V57+0,S57+0), 0)</f>
        <v>9.1376494946344451</v>
      </c>
      <c r="O57" s="195">
        <f>IF(D$32=1, IF(AND('Small Signal'!$B$62&gt;=1,FCCM=0),W57,T57), 0)</f>
        <v>-0.91479474460008492</v>
      </c>
      <c r="P57" s="195">
        <f>IF(AND('Small Signal'!$B$62&gt;=1,FCCM=0),AF57+0,AC57+0)</f>
        <v>60.724350028924796</v>
      </c>
      <c r="Q57" s="195">
        <f>IF(AND('Small Signal'!$B$62&gt;=1,FCCM=0),AG57,AD57)</f>
        <v>147.92218620607767</v>
      </c>
      <c r="R57" s="195" t="str">
        <f>IMDIV(IMSUM('Small Signal'!$B$2*'Small Signal'!$B$39*'Small Signal'!$B$63,IMPRODUCT(M57,'Small Signal'!$B$2*'Small Signal'!$B$39*'Small Signal'!$B$63*'Small Signal'!$B$14*'Small Signal'!$B$15)),IMSUM(IMPRODUCT('Small Signal'!$B$12*'Small Signal'!$B$14*('Small Signal'!$B$15+'Small Signal'!$B$39),IMPOWER(M57,2)),IMSUM(IMPRODUCT(M57,('Small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2.61407594982392-0.0387570987367555i</v>
      </c>
      <c r="S57" s="195">
        <f t="shared" si="22"/>
        <v>9.1376494946344451</v>
      </c>
      <c r="T57" s="195">
        <f t="shared" si="23"/>
        <v>-0.91479474460008492</v>
      </c>
      <c r="U57" s="195" t="str">
        <f>IMDIV(IMSUM('Small Signal'!$B$75,IMPRODUCT(M57,'Small Signal'!$B$76)),IMSUM(IMPRODUCT('Small Signal'!$B$79,IMPOWER(M57,2)),IMSUM(IMPRODUCT(M57,'Small Signal'!$B$78),'Small Signal'!$B$77)))</f>
        <v>3.06173900980244-0.0348368351504623i</v>
      </c>
      <c r="V57" s="195">
        <f t="shared" si="3"/>
        <v>9.7199255604070434</v>
      </c>
      <c r="W57" s="195">
        <f t="shared" si="4"/>
        <v>-0.6518901482863092</v>
      </c>
      <c r="X57" s="195" t="str">
        <f>IMPRODUCT(IMDIV(IMSUM(IMPRODUCT(M57,'Small Signal'!$B$58*'Small Signal'!$B$6*'Small Signal'!$B$51*'Small Signal'!$B$7*'Small Signal'!$B$8),'Small Signal'!$B$58*'Small Signal'!$B$6*'Small Signal'!$B$51),IMSUM(IMSUM(IMPRODUCT(M57,('Small Signal'!$B$5+'Small Signal'!$B$6)*('Small Signal'!$B$57*'Small Signal'!$B$58)+'Small Signal'!$B$5*'Small Signal'!$B$58*('Small Signal'!$B$8+'Small Signal'!$B$9)+'Small Signal'!$B$6*'Small Signal'!$B$58*('Small Signal'!$B$8+'Small Signal'!$B$9)+'Small Signal'!$B$7*'Small Signal'!$B$8*('Small Signal'!$B$5+'Small Signal'!$B$6)),'Small Signal'!$B$6+'Small Signal'!$B$5),IMPRODUCT(IMPOWER(M57,2),'Small Signal'!$B$57*'Small Signal'!$B$58*'Small Signal'!$B$8*'Small Signal'!$B$7*('Small Signal'!$B$5+'Small Signal'!$B$6)+('Small Signal'!$B$5+'Small Signal'!$B$6)*('Small Signal'!$B$9*'Small Signal'!$B$8*'Small Signal'!$B$58*'Small Signal'!$B$7)))),-1)</f>
        <v>-324.777283857087+196.524054619439i</v>
      </c>
      <c r="Y57" s="195">
        <f t="shared" si="5"/>
        <v>51.586700534290351</v>
      </c>
      <c r="Z57" s="195">
        <f t="shared" si="6"/>
        <v>148.8369809506778</v>
      </c>
      <c r="AA57" s="195" t="str">
        <f t="shared" si="7"/>
        <v>1.00000005730497+0.00026675238011812i</v>
      </c>
      <c r="AB57" s="195" t="str">
        <f t="shared" si="8"/>
        <v>-921.01959135054+577.257642852008i</v>
      </c>
      <c r="AC57" s="192">
        <f t="shared" si="24"/>
        <v>60.724350028924796</v>
      </c>
      <c r="AD57" s="195">
        <f t="shared" si="25"/>
        <v>147.92218620607767</v>
      </c>
      <c r="AE57" s="195" t="str">
        <f t="shared" si="9"/>
        <v>-987.537003389046+613.019577091226i</v>
      </c>
      <c r="AF57" s="192">
        <f t="shared" si="10"/>
        <v>61.306625287922607</v>
      </c>
      <c r="AG57" s="195">
        <f t="shared" si="11"/>
        <v>148.16980701807401</v>
      </c>
      <c r="AI57" s="195" t="str">
        <f t="shared" si="12"/>
        <v>0.002-11.6803754454358i</v>
      </c>
      <c r="AJ57" s="195">
        <f t="shared" si="13"/>
        <v>0.22500000000000001</v>
      </c>
      <c r="AK57" s="195" t="str">
        <f t="shared" si="14"/>
        <v>0.0375-23360.7508908716i</v>
      </c>
      <c r="AL57" s="195" t="str">
        <f t="shared" si="15"/>
        <v>0.224915716316301-0.00433472116894964i</v>
      </c>
      <c r="AM57" s="195" t="str">
        <f t="shared" si="16"/>
        <v>0.898502492845401-0.0000518738232188444i</v>
      </c>
      <c r="AN57" s="195" t="str">
        <f t="shared" si="17"/>
        <v>0.006+0.000589686105058571i</v>
      </c>
      <c r="AO57" s="195" t="str">
        <f t="shared" si="26"/>
        <v>2.86303803400398-0.0457156660419465i</v>
      </c>
      <c r="AP57" s="195">
        <f t="shared" si="27"/>
        <v>9.1376494946344451</v>
      </c>
      <c r="AQ57" s="195">
        <f t="shared" si="28"/>
        <v>-0.91479474460008492</v>
      </c>
      <c r="AS57" s="195" t="str">
        <f t="shared" si="18"/>
        <v>0.921951216276685-0.0000546167141012025i</v>
      </c>
      <c r="AT57" s="195" t="str">
        <f t="shared" si="29"/>
        <v>2.87800140635634-0.0461489224090619i</v>
      </c>
      <c r="AU57" s="195">
        <f t="shared" si="30"/>
        <v>9.1829365644116674</v>
      </c>
      <c r="AV57" s="195">
        <f t="shared" si="31"/>
        <v>-0.91866247500390275</v>
      </c>
    </row>
    <row r="58" spans="1:48" x14ac:dyDescent="0.2">
      <c r="A58" s="198" t="s">
        <v>56</v>
      </c>
      <c r="B58" s="201">
        <f>B52/B51</f>
        <v>769230.76923076925</v>
      </c>
      <c r="C58" s="203"/>
      <c r="D58" s="207"/>
      <c r="F58" s="195">
        <v>56</v>
      </c>
      <c r="G58" s="210">
        <f t="shared" si="0"/>
        <v>168.59888476654348</v>
      </c>
      <c r="H58" s="210">
        <f t="shared" si="1"/>
        <v>168.57881372500071</v>
      </c>
      <c r="I58" s="196">
        <f t="shared" si="2"/>
        <v>1</v>
      </c>
      <c r="J58" s="195">
        <f t="shared" si="19"/>
        <v>1</v>
      </c>
      <c r="K58" s="195">
        <f t="shared" si="20"/>
        <v>1</v>
      </c>
      <c r="L58" s="195">
        <f>10^('Small Signal'!F58/30)</f>
        <v>73.564225445964155</v>
      </c>
      <c r="M58" s="195" t="str">
        <f t="shared" si="21"/>
        <v>462.217660456129i</v>
      </c>
      <c r="N58" s="195">
        <f>IF(D$32=1, IF(AND('Small Signal'!$B$62&gt;=1,FCCM=0),V58+0,S58+0), 0)</f>
        <v>9.1374765730903302</v>
      </c>
      <c r="O58" s="195">
        <f>IF(D$32=1, IF(AND('Small Signal'!$B$62&gt;=1,FCCM=0),W58,T58), 0)</f>
        <v>-0.98775994790485677</v>
      </c>
      <c r="P58" s="195">
        <f>IF(AND('Small Signal'!$B$62&gt;=1,FCCM=0),AF58+0,AC58+0)</f>
        <v>60.529849806716662</v>
      </c>
      <c r="Q58" s="195">
        <f>IF(AND('Small Signal'!$B$62&gt;=1,FCCM=0),AG58,AD58)</f>
        <v>145.89275602058802</v>
      </c>
      <c r="R58" s="195" t="str">
        <f>IMDIV(IMSUM('Small Signal'!$B$2*'Small Signal'!$B$39*'Small Signal'!$B$63,IMPRODUCT(M58,'Small Signal'!$B$2*'Small Signal'!$B$39*'Small Signal'!$B$63*'Small Signal'!$B$14*'Small Signal'!$B$15)),IMSUM(IMPRODUCT('Small Signal'!$B$12*'Small Signal'!$B$14*('Small Signal'!$B$15+'Small Signal'!$B$39),IMPOWER(M58,2)),IMSUM(IMPRODUCT(M58,('Small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2.61398542162759-0.0418475808495987i</v>
      </c>
      <c r="S58" s="195">
        <f t="shared" si="22"/>
        <v>9.1374765730903302</v>
      </c>
      <c r="T58" s="195">
        <f t="shared" si="23"/>
        <v>-0.98775994790485677</v>
      </c>
      <c r="U58" s="195" t="str">
        <f>IMDIV(IMSUM('Small Signal'!$B$75,IMPRODUCT(M58,'Small Signal'!$B$76)),IMSUM(IMPRODUCT('Small Signal'!$B$79,IMPOWER(M58,2)),IMSUM(IMPRODUCT(M58,'Small Signal'!$B$78),'Small Signal'!$B$77)))</f>
        <v>3.06168735159285-0.037615490516108i</v>
      </c>
      <c r="V58" s="195">
        <f t="shared" si="3"/>
        <v>9.7198722868258223</v>
      </c>
      <c r="W58" s="195">
        <f t="shared" si="4"/>
        <v>-0.70389304185109869</v>
      </c>
      <c r="X58" s="195" t="str">
        <f>IMPRODUCT(IMDIV(IMSUM(IMPRODUCT(M58,'Small Signal'!$B$58*'Small Signal'!$B$6*'Small Signal'!$B$51*'Small Signal'!$B$7*'Small Signal'!$B$8),'Small Signal'!$B$58*'Small Signal'!$B$6*'Small Signal'!$B$51),IMSUM(IMSUM(IMPRODUCT(M58,('Small Signal'!$B$5+'Small Signal'!$B$6)*('Small Signal'!$B$57*'Small Signal'!$B$58)+'Small Signal'!$B$5*'Small Signal'!$B$58*('Small Signal'!$B$8+'Small Signal'!$B$9)+'Small Signal'!$B$6*'Small Signal'!$B$58*('Small Signal'!$B$8+'Small Signal'!$B$9)+'Small Signal'!$B$7*'Small Signal'!$B$8*('Small Signal'!$B$5+'Small Signal'!$B$6)),'Small Signal'!$B$6+'Small Signal'!$B$5),IMPRODUCT(IMPOWER(M58,2),'Small Signal'!$B$57*'Small Signal'!$B$58*'Small Signal'!$B$8*'Small Signal'!$B$7*('Small Signal'!$B$5+'Small Signal'!$B$6)+('Small Signal'!$B$5+'Small Signal'!$B$6)*('Small Signal'!$B$9*'Small Signal'!$B$8*'Small Signal'!$B$58*'Small Signal'!$B$7)))),-1)</f>
        <v>-310.841424072364+202.913295029437i</v>
      </c>
      <c r="Y58" s="195">
        <f t="shared" si="5"/>
        <v>51.392373233626337</v>
      </c>
      <c r="Z58" s="195">
        <f t="shared" si="6"/>
        <v>146.88051596849286</v>
      </c>
      <c r="AA58" s="195" t="str">
        <f t="shared" si="7"/>
        <v>1.00000006681269+0.000288032592337914i</v>
      </c>
      <c r="AB58" s="195" t="str">
        <f t="shared" si="8"/>
        <v>-880.070150593926+596.014574764583i</v>
      </c>
      <c r="AC58" s="192">
        <f t="shared" si="24"/>
        <v>60.529849806716662</v>
      </c>
      <c r="AD58" s="195">
        <f t="shared" si="25"/>
        <v>145.89275602058802</v>
      </c>
      <c r="AE58" s="195" t="str">
        <f t="shared" si="9"/>
        <v>-944.066573308694+632.949521500863i</v>
      </c>
      <c r="AF58" s="192">
        <f t="shared" si="10"/>
        <v>61.112244579821834</v>
      </c>
      <c r="AG58" s="195">
        <f t="shared" si="11"/>
        <v>146.16011987629761</v>
      </c>
      <c r="AI58" s="195" t="str">
        <f t="shared" si="12"/>
        <v>0.002-10.8174144515938i</v>
      </c>
      <c r="AJ58" s="195">
        <f t="shared" si="13"/>
        <v>0.22500000000000001</v>
      </c>
      <c r="AK58" s="195" t="str">
        <f t="shared" si="14"/>
        <v>0.0375-21634.8289031876i</v>
      </c>
      <c r="AL58" s="195" t="str">
        <f t="shared" si="15"/>
        <v>0.224901738600623-0.00468023079183381i</v>
      </c>
      <c r="AM58" s="195" t="str">
        <f t="shared" si="16"/>
        <v>0.898502492348512-0.0000560120658557111i</v>
      </c>
      <c r="AN58" s="195" t="str">
        <f t="shared" si="17"/>
        <v>0.006+0.000636728409812014i</v>
      </c>
      <c r="AO58" s="195" t="str">
        <f t="shared" si="26"/>
        <v>2.86292049778683-0.049360675658978i</v>
      </c>
      <c r="AP58" s="195">
        <f t="shared" si="27"/>
        <v>9.1374765730903302</v>
      </c>
      <c r="AQ58" s="195">
        <f t="shared" si="28"/>
        <v>-0.98775994790485677</v>
      </c>
      <c r="AS58" s="195" t="str">
        <f t="shared" si="18"/>
        <v>0.921951215739862-0.0000589737713000936i</v>
      </c>
      <c r="AT58" s="195" t="str">
        <f t="shared" si="29"/>
        <v>2.8778821206824-0.0498284550222073i</v>
      </c>
      <c r="AU58" s="195">
        <f t="shared" si="30"/>
        <v>9.182761772867206</v>
      </c>
      <c r="AV58" s="195">
        <f t="shared" si="31"/>
        <v>-0.99193601867904124</v>
      </c>
    </row>
    <row r="59" spans="1:48" x14ac:dyDescent="0.2">
      <c r="A59" s="198" t="s">
        <v>40</v>
      </c>
      <c r="B59" s="201">
        <f>((1/(B14*B12))^0.5)*(1/(2*3.14159))</f>
        <v>9588.5216733677771</v>
      </c>
      <c r="C59" s="200"/>
      <c r="D59" s="205"/>
      <c r="F59" s="195">
        <v>57</v>
      </c>
      <c r="G59" s="210">
        <f t="shared" si="0"/>
        <v>168.60048593635815</v>
      </c>
      <c r="H59" s="210">
        <f t="shared" si="1"/>
        <v>168.57881372500071</v>
      </c>
      <c r="I59" s="196">
        <f t="shared" si="2"/>
        <v>1</v>
      </c>
      <c r="J59" s="195">
        <f t="shared" si="19"/>
        <v>1</v>
      </c>
      <c r="K59" s="195">
        <f t="shared" si="20"/>
        <v>1</v>
      </c>
      <c r="L59" s="195">
        <f>10^('Small Signal'!F59/30)</f>
        <v>79.432823472428197</v>
      </c>
      <c r="M59" s="195" t="str">
        <f t="shared" si="21"/>
        <v>499.091149349751i</v>
      </c>
      <c r="N59" s="195">
        <f>IF(D$32=1, IF(AND('Small Signal'!$B$62&gt;=1,FCCM=0),V59+0,S59+0), 0)</f>
        <v>9.1372749700414939</v>
      </c>
      <c r="O59" s="195">
        <f>IF(D$32=1, IF(AND('Small Signal'!$B$62&gt;=1,FCCM=0),W59,T59), 0)</f>
        <v>-1.0665426756712986</v>
      </c>
      <c r="P59" s="195">
        <f>IF(AND('Small Signal'!$B$62&gt;=1,FCCM=0),AF59+0,AC59+0)</f>
        <v>60.313546816012931</v>
      </c>
      <c r="Q59" s="195">
        <f>IF(AND('Small Signal'!$B$62&gt;=1,FCCM=0),AG59,AD59)</f>
        <v>143.80101542316959</v>
      </c>
      <c r="R59" s="195" t="str">
        <f>IMDIV(IMSUM('Small Signal'!$B$2*'Small Signal'!$B$39*'Small Signal'!$B$63,IMPRODUCT(M59,'Small Signal'!$B$2*'Small Signal'!$B$39*'Small Signal'!$B$63*'Small Signal'!$B$14*'Small Signal'!$B$15)),IMSUM(IMPRODUCT('Small Signal'!$B$12*'Small Signal'!$B$14*('Small Signal'!$B$15+'Small Signal'!$B$39),IMPOWER(M59,2)),IMSUM(IMPRODUCT(M59,('Small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2.6138798809653-0.0451842516209644i</v>
      </c>
      <c r="S59" s="195">
        <f t="shared" si="22"/>
        <v>9.1372749700414939</v>
      </c>
      <c r="T59" s="195">
        <f t="shared" si="23"/>
        <v>-1.0665426756712986</v>
      </c>
      <c r="U59" s="195" t="str">
        <f>IMDIV(IMSUM('Small Signal'!$B$75,IMPRODUCT(M59,'Small Signal'!$B$76)),IMSUM(IMPRODUCT('Small Signal'!$B$79,IMPOWER(M59,2)),IMSUM(IMPRODUCT(M59,'Small Signal'!$B$78),'Small Signal'!$B$77)))</f>
        <v>3.06162712395534-0.0406156947789954i</v>
      </c>
      <c r="V59" s="195">
        <f t="shared" si="3"/>
        <v>9.7198101749495986</v>
      </c>
      <c r="W59" s="195">
        <f t="shared" si="4"/>
        <v>-0.76004402189945408</v>
      </c>
      <c r="X59" s="195" t="str">
        <f>IMPRODUCT(IMDIV(IMSUM(IMPRODUCT(M59,'Small Signal'!$B$58*'Small Signal'!$B$6*'Small Signal'!$B$51*'Small Signal'!$B$7*'Small Signal'!$B$8),'Small Signal'!$B$58*'Small Signal'!$B$6*'Small Signal'!$B$51),IMSUM(IMSUM(IMPRODUCT(M59,('Small Signal'!$B$5+'Small Signal'!$B$6)*('Small Signal'!$B$57*'Small Signal'!$B$58)+'Small Signal'!$B$5*'Small Signal'!$B$58*('Small Signal'!$B$8+'Small Signal'!$B$9)+'Small Signal'!$B$6*'Small Signal'!$B$58*('Small Signal'!$B$8+'Small Signal'!$B$9)+'Small Signal'!$B$7*'Small Signal'!$B$8*('Small Signal'!$B$5+'Small Signal'!$B$6)),'Small Signal'!$B$6+'Small Signal'!$B$5),IMPRODUCT(IMPOWER(M59,2),'Small Signal'!$B$57*'Small Signal'!$B$58*'Small Signal'!$B$8*'Small Signal'!$B$7*('Small Signal'!$B$5+'Small Signal'!$B$6)+('Small Signal'!$B$5+'Small Signal'!$B$6)*('Small Signal'!$B$9*'Small Signal'!$B$8*'Small Signal'!$B$58*'Small Signal'!$B$7)))),-1)</f>
        <v>-296.059034445053+208.462008220563i</v>
      </c>
      <c r="Y59" s="195">
        <f t="shared" si="5"/>
        <v>51.176271845971435</v>
      </c>
      <c r="Z59" s="195">
        <f t="shared" si="6"/>
        <v>144.86755809884085</v>
      </c>
      <c r="AA59" s="195" t="str">
        <f t="shared" si="7"/>
        <v>1.00000007789788+0.000311010436370868i</v>
      </c>
      <c r="AB59" s="195" t="str">
        <f t="shared" si="8"/>
        <v>-836.633306068605+612.300246901765i</v>
      </c>
      <c r="AC59" s="192">
        <f t="shared" si="24"/>
        <v>60.313546816012931</v>
      </c>
      <c r="AD59" s="195">
        <f t="shared" si="25"/>
        <v>143.80101542316959</v>
      </c>
      <c r="AE59" s="195" t="str">
        <f t="shared" si="9"/>
        <v>-897.9555408501+650.257582061861i</v>
      </c>
      <c r="AF59" s="192">
        <f t="shared" si="10"/>
        <v>60.896080924226595</v>
      </c>
      <c r="AG59" s="195">
        <f t="shared" si="11"/>
        <v>144.08969449351551</v>
      </c>
      <c r="AI59" s="195" t="str">
        <f t="shared" si="12"/>
        <v>0.002-10.0182101135521i</v>
      </c>
      <c r="AJ59" s="195">
        <f t="shared" si="13"/>
        <v>0.22500000000000001</v>
      </c>
      <c r="AK59" s="195" t="str">
        <f t="shared" si="14"/>
        <v>0.0375-20036.420227104i</v>
      </c>
      <c r="AL59" s="195" t="str">
        <f t="shared" si="15"/>
        <v>0.22488544399356-0.00505322756636357i</v>
      </c>
      <c r="AM59" s="195" t="str">
        <f t="shared" si="16"/>
        <v>0.898502491769174-0.0000604804374626644i</v>
      </c>
      <c r="AN59" s="195" t="str">
        <f t="shared" si="17"/>
        <v>0.006+0.000687523522063432i</v>
      </c>
      <c r="AO59" s="195" t="str">
        <f t="shared" si="26"/>
        <v>2.86278347242041-0.0532959579183501i</v>
      </c>
      <c r="AP59" s="195">
        <f t="shared" si="27"/>
        <v>9.1372749700414939</v>
      </c>
      <c r="AQ59" s="195">
        <f t="shared" si="28"/>
        <v>-1.0665426756712986</v>
      </c>
      <c r="AS59" s="195" t="str">
        <f t="shared" si="18"/>
        <v>0.921951215113977-0.0000636784134354067i</v>
      </c>
      <c r="AT59" s="195" t="str">
        <f t="shared" si="29"/>
        <v>2.87774305590544-0.0538010039788902i</v>
      </c>
      <c r="AU59" s="195">
        <f t="shared" si="30"/>
        <v>9.1825579897482292</v>
      </c>
      <c r="AV59" s="195">
        <f t="shared" si="31"/>
        <v>-1.0710516307685707</v>
      </c>
    </row>
    <row r="60" spans="1:48" x14ac:dyDescent="0.2">
      <c r="A60" s="198" t="s">
        <v>41</v>
      </c>
      <c r="B60" s="201">
        <f>1/(B14*B15*2*3.14159)</f>
        <v>397887.69381109567</v>
      </c>
      <c r="C60" s="200"/>
      <c r="D60" s="205"/>
      <c r="F60" s="195">
        <v>58</v>
      </c>
      <c r="G60" s="210">
        <f t="shared" si="0"/>
        <v>168.60221483955212</v>
      </c>
      <c r="H60" s="210">
        <f t="shared" si="1"/>
        <v>168.57881372500071</v>
      </c>
      <c r="I60" s="196">
        <f t="shared" si="2"/>
        <v>1</v>
      </c>
      <c r="J60" s="195">
        <f t="shared" si="19"/>
        <v>1</v>
      </c>
      <c r="K60" s="195">
        <f t="shared" si="20"/>
        <v>1</v>
      </c>
      <c r="L60" s="195">
        <f>10^('Small Signal'!F60/30)</f>
        <v>85.769589859089479</v>
      </c>
      <c r="M60" s="195" t="str">
        <f t="shared" si="21"/>
        <v>538.90622680545i</v>
      </c>
      <c r="N60" s="195">
        <f>IF(D$32=1, IF(AND('Small Signal'!$B$62&gt;=1,FCCM=0),V60+0,S60+0), 0)</f>
        <v>9.1370399299273437</v>
      </c>
      <c r="O60" s="195">
        <f>IF(D$32=1, IF(AND('Small Signal'!$B$62&gt;=1,FCCM=0),W60,T60), 0)</f>
        <v>-1.1516061712917025</v>
      </c>
      <c r="P60" s="195">
        <f>IF(AND('Small Signal'!$B$62&gt;=1,FCCM=0),AF60+0,AC60+0)</f>
        <v>60.074233486276249</v>
      </c>
      <c r="Q60" s="195">
        <f>IF(AND('Small Signal'!$B$62&gt;=1,FCCM=0),AG60,AD60)</f>
        <v>141.65587661314717</v>
      </c>
      <c r="R60" s="195" t="str">
        <f>IMDIV(IMSUM('Small Signal'!$B$2*'Small Signal'!$B$39*'Small Signal'!$B$63,IMPRODUCT(M60,'Small Signal'!$B$2*'Small Signal'!$B$39*'Small Signal'!$B$63*'Small Signal'!$B$14*'Small Signal'!$B$15)),IMSUM(IMPRODUCT('Small Signal'!$B$12*'Small Signal'!$B$14*('Small Signal'!$B$15+'Small Signal'!$B$39),IMPOWER(M60,2)),IMSUM(IMPRODUCT(M60,('Small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2.61375683973435-0.0487866589157277i</v>
      </c>
      <c r="S60" s="195">
        <f t="shared" si="22"/>
        <v>9.1370399299273437</v>
      </c>
      <c r="T60" s="195">
        <f t="shared" si="23"/>
        <v>-1.1516061712917025</v>
      </c>
      <c r="U60" s="195" t="str">
        <f>IMDIV(IMSUM('Small Signal'!$B$75,IMPRODUCT(M60,'Small Signal'!$B$76)),IMSUM(IMPRODUCT('Small Signal'!$B$79,IMPOWER(M60,2)),IMSUM(IMPRODUCT(M60,'Small Signal'!$B$78),'Small Signal'!$B$77)))</f>
        <v>3.06155690560614-0.04385509128777i</v>
      </c>
      <c r="V60" s="195">
        <f t="shared" si="3"/>
        <v>9.719737758579015</v>
      </c>
      <c r="W60" s="195">
        <f t="shared" si="4"/>
        <v>-0.8206738854765796</v>
      </c>
      <c r="X60" s="195" t="str">
        <f>IMPRODUCT(IMDIV(IMSUM(IMPRODUCT(M60,'Small Signal'!$B$58*'Small Signal'!$B$6*'Small Signal'!$B$51*'Small Signal'!$B$7*'Small Signal'!$B$8),'Small Signal'!$B$58*'Small Signal'!$B$6*'Small Signal'!$B$51),IMSUM(IMSUM(IMPRODUCT(M60,('Small Signal'!$B$5+'Small Signal'!$B$6)*('Small Signal'!$B$57*'Small Signal'!$B$58)+'Small Signal'!$B$5*'Small Signal'!$B$58*('Small Signal'!$B$8+'Small Signal'!$B$9)+'Small Signal'!$B$6*'Small Signal'!$B$58*('Small Signal'!$B$8+'Small Signal'!$B$9)+'Small Signal'!$B$7*'Small Signal'!$B$8*('Small Signal'!$B$5+'Small Signal'!$B$6)),'Small Signal'!$B$6+'Small Signal'!$B$5),IMPRODUCT(IMPOWER(M60,2),'Small Signal'!$B$57*'Small Signal'!$B$58*'Small Signal'!$B$8*'Small Signal'!$B$7*('Small Signal'!$B$5+'Small Signal'!$B$6)+('Small Signal'!$B$5+'Small Signal'!$B$6)*('Small Signal'!$B$9*'Small Signal'!$B$8*'Small Signal'!$B$58*'Small Signal'!$B$7)))),-1)</f>
        <v>-280.539514635135+213.03183885566i</v>
      </c>
      <c r="Y60" s="195">
        <f t="shared" si="5"/>
        <v>50.937193556348902</v>
      </c>
      <c r="Z60" s="195">
        <f t="shared" si="6"/>
        <v>142.80748278443889</v>
      </c>
      <c r="AA60" s="195" t="str">
        <f t="shared" si="7"/>
        <v>1.00000009082226+0.000335821340922591i</v>
      </c>
      <c r="AB60" s="195" t="str">
        <f t="shared" si="8"/>
        <v>-791.030539797588+625.707996091468i</v>
      </c>
      <c r="AC60" s="192">
        <f t="shared" si="24"/>
        <v>60.074233486276249</v>
      </c>
      <c r="AD60" s="195">
        <f t="shared" si="25"/>
        <v>141.65587661314717</v>
      </c>
      <c r="AE60" s="195" t="str">
        <f t="shared" si="9"/>
        <v>-849.545157586376+664.512183386671i</v>
      </c>
      <c r="AF60" s="192">
        <f t="shared" si="10"/>
        <v>60.656930036276115</v>
      </c>
      <c r="AG60" s="195">
        <f t="shared" si="11"/>
        <v>141.96756775592783</v>
      </c>
      <c r="AI60" s="195" t="str">
        <f t="shared" si="12"/>
        <v>0.002-9.27805200848987i</v>
      </c>
      <c r="AJ60" s="195">
        <f t="shared" si="13"/>
        <v>0.22500000000000001</v>
      </c>
      <c r="AK60" s="195" t="str">
        <f t="shared" si="14"/>
        <v>0.0375-18556.1040169797i</v>
      </c>
      <c r="AL60" s="195" t="str">
        <f t="shared" si="15"/>
        <v>0.224866448884033-0.00545588464657616i</v>
      </c>
      <c r="AM60" s="195" t="str">
        <f t="shared" si="16"/>
        <v>0.898502491093729-0.0000653052741298062i</v>
      </c>
      <c r="AN60" s="195" t="str">
        <f t="shared" si="17"/>
        <v>0.006+0.000742370822640161i</v>
      </c>
      <c r="AO60" s="195" t="str">
        <f t="shared" si="26"/>
        <v>2.86262372861289-0.0575445377795666i</v>
      </c>
      <c r="AP60" s="195">
        <f t="shared" si="27"/>
        <v>9.1370399299273437</v>
      </c>
      <c r="AQ60" s="195">
        <f t="shared" si="28"/>
        <v>-1.1516061712917025</v>
      </c>
      <c r="AS60" s="195" t="str">
        <f t="shared" si="18"/>
        <v>0.921951214384256-0.0000687583691495651i</v>
      </c>
      <c r="AT60" s="195" t="str">
        <f t="shared" si="29"/>
        <v>2.87758093473623-0.0580898104342467i</v>
      </c>
      <c r="AU60" s="195">
        <f t="shared" si="30"/>
        <v>9.182320408117743</v>
      </c>
      <c r="AV60" s="195">
        <f t="shared" si="31"/>
        <v>-1.1564744987040876</v>
      </c>
    </row>
    <row r="61" spans="1:48" x14ac:dyDescent="0.2">
      <c r="A61" s="198"/>
      <c r="B61" s="200"/>
      <c r="C61" s="200"/>
      <c r="D61" s="205"/>
      <c r="F61" s="195">
        <v>59</v>
      </c>
      <c r="G61" s="210">
        <f t="shared" si="0"/>
        <v>168.60408166602394</v>
      </c>
      <c r="H61" s="210">
        <f t="shared" si="1"/>
        <v>168.57881372500071</v>
      </c>
      <c r="I61" s="196">
        <f t="shared" si="2"/>
        <v>1</v>
      </c>
      <c r="J61" s="195">
        <f t="shared" si="19"/>
        <v>1</v>
      </c>
      <c r="K61" s="195">
        <f t="shared" si="20"/>
        <v>1</v>
      </c>
      <c r="L61" s="195">
        <f>10^('Small Signal'!F61/30)</f>
        <v>92.611872812879369</v>
      </c>
      <c r="M61" s="195" t="str">
        <f t="shared" si="21"/>
        <v>581.897558528268i</v>
      </c>
      <c r="N61" s="195">
        <f>IF(D$32=1, IF(AND('Small Signal'!$B$62&gt;=1,FCCM=0),V61+0,S61+0), 0)</f>
        <v>9.136765909290185</v>
      </c>
      <c r="O61" s="195">
        <f>IF(D$32=1, IF(AND('Small Signal'!$B$62&gt;=1,FCCM=0),W61,T61), 0)</f>
        <v>-1.2434504134225723</v>
      </c>
      <c r="P61" s="195">
        <f>IF(AND('Small Signal'!$B$62&gt;=1,FCCM=0),AF61+0,AC61+0)</f>
        <v>59.810890085039745</v>
      </c>
      <c r="Q61" s="195">
        <f>IF(AND('Small Signal'!$B$62&gt;=1,FCCM=0),AG61,AD61)</f>
        <v>139.46753905375309</v>
      </c>
      <c r="R61" s="195" t="str">
        <f>IMDIV(IMSUM('Small Signal'!$B$2*'Small Signal'!$B$39*'Small Signal'!$B$63,IMPRODUCT(M61,'Small Signal'!$B$2*'Small Signal'!$B$39*'Small Signal'!$B$63*'Small Signal'!$B$14*'Small Signal'!$B$15)),IMSUM(IMPRODUCT('Small Signal'!$B$12*'Small Signal'!$B$14*('Small Signal'!$B$15+'Small Signal'!$B$39),IMPOWER(M61,2)),IMSUM(IMPRODUCT(M61,('Small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2.61361339798295-0.052675886270702i</v>
      </c>
      <c r="S61" s="195">
        <f t="shared" si="22"/>
        <v>9.136765909290185</v>
      </c>
      <c r="T61" s="195">
        <f t="shared" si="23"/>
        <v>-1.2434504134225723</v>
      </c>
      <c r="U61" s="195" t="str">
        <f>IMDIV(IMSUM('Small Signal'!$B$75,IMPRODUCT(M61,'Small Signal'!$B$76)),IMSUM(IMPRODUCT('Small Signal'!$B$79,IMPOWER(M61,2)),IMSUM(IMPRODUCT(M61,'Small Signal'!$B$78),'Small Signal'!$B$77)))</f>
        <v>3.0614750396324-0.0473527229327818i</v>
      </c>
      <c r="V61" s="195">
        <f t="shared" si="3"/>
        <v>9.7196533283232398</v>
      </c>
      <c r="W61" s="195">
        <f t="shared" si="4"/>
        <v>-0.88613978866812082</v>
      </c>
      <c r="X61" s="195" t="str">
        <f>IMPRODUCT(IMDIV(IMSUM(IMPRODUCT(M61,'Small Signal'!$B$58*'Small Signal'!$B$6*'Small Signal'!$B$51*'Small Signal'!$B$7*'Small Signal'!$B$8),'Small Signal'!$B$58*'Small Signal'!$B$6*'Small Signal'!$B$51),IMSUM(IMSUM(IMPRODUCT(M61,('Small Signal'!$B$5+'Small Signal'!$B$6)*('Small Signal'!$B$57*'Small Signal'!$B$58)+'Small Signal'!$B$5*'Small Signal'!$B$58*('Small Signal'!$B$8+'Small Signal'!$B$9)+'Small Signal'!$B$6*'Small Signal'!$B$58*('Small Signal'!$B$8+'Small Signal'!$B$9)+'Small Signal'!$B$7*'Small Signal'!$B$8*('Small Signal'!$B$5+'Small Signal'!$B$6)),'Small Signal'!$B$6+'Small Signal'!$B$5),IMPRODUCT(IMPOWER(M61,2),'Small Signal'!$B$57*'Small Signal'!$B$58*'Small Signal'!$B$8*'Small Signal'!$B$7*('Small Signal'!$B$5+'Small Signal'!$B$6)+('Small Signal'!$B$5+'Small Signal'!$B$6)*('Small Signal'!$B$9*'Small Signal'!$B$8*'Small Signal'!$B$58*'Small Signal'!$B$7)))),-1)</f>
        <v>-264.42146028626+216.501891268941i</v>
      </c>
      <c r="Y61" s="195">
        <f t="shared" si="5"/>
        <v>50.674124175749547</v>
      </c>
      <c r="Z61" s="195">
        <f t="shared" si="6"/>
        <v>140.71098946717569</v>
      </c>
      <c r="AA61" s="195" t="str">
        <f t="shared" si="7"/>
        <v>1.00000010589098+0.000362611538507384i</v>
      </c>
      <c r="AB61" s="195" t="str">
        <f t="shared" si="8"/>
        <v>-743.669127621882+635.882455030484i</v>
      </c>
      <c r="AC61" s="192">
        <f t="shared" si="24"/>
        <v>59.810890085039745</v>
      </c>
      <c r="AD61" s="195">
        <f t="shared" si="25"/>
        <v>139.46753905375309</v>
      </c>
      <c r="AE61" s="195" t="str">
        <f t="shared" si="9"/>
        <v>-799.267746537854+675.336212299488i</v>
      </c>
      <c r="AF61" s="192">
        <f t="shared" si="10"/>
        <v>60.393776013274298</v>
      </c>
      <c r="AG61" s="195">
        <f t="shared" si="11"/>
        <v>139.80407357085895</v>
      </c>
      <c r="AI61" s="195" t="str">
        <f t="shared" si="12"/>
        <v>0.002-8.59257772561541i</v>
      </c>
      <c r="AJ61" s="195">
        <f t="shared" si="13"/>
        <v>0.22500000000000001</v>
      </c>
      <c r="AK61" s="195" t="str">
        <f t="shared" si="14"/>
        <v>0.0375-17185.1554512309i</v>
      </c>
      <c r="AL61" s="195" t="str">
        <f t="shared" si="15"/>
        <v>0.22484430629951-0.00589054347642057i</v>
      </c>
      <c r="AM61" s="195" t="str">
        <f t="shared" si="16"/>
        <v>0.898502490306207-0.0000705150129125619i</v>
      </c>
      <c r="AN61" s="195" t="str">
        <f t="shared" si="17"/>
        <v>0.006+0.000801593575523634i</v>
      </c>
      <c r="AO61" s="195" t="str">
        <f t="shared" si="26"/>
        <v>2.86243750280846-0.0621312429971948i</v>
      </c>
      <c r="AP61" s="195">
        <f t="shared" si="27"/>
        <v>9.136765909290185</v>
      </c>
      <c r="AQ61" s="195">
        <f t="shared" si="28"/>
        <v>-1.2434504134225723</v>
      </c>
      <c r="AS61" s="195" t="str">
        <f t="shared" si="18"/>
        <v>0.921951213533452-0.0000742435791413461i</v>
      </c>
      <c r="AT61" s="195" t="str">
        <f t="shared" si="29"/>
        <v>2.87739193769749-0.0627199348921395i</v>
      </c>
      <c r="AU61" s="195">
        <f t="shared" si="30"/>
        <v>9.1820434246418046</v>
      </c>
      <c r="AV61" s="195">
        <f t="shared" si="31"/>
        <v>-1.248706696658221</v>
      </c>
    </row>
    <row r="62" spans="1:48" x14ac:dyDescent="0.2">
      <c r="A62" s="198" t="s">
        <v>73</v>
      </c>
      <c r="B62" s="202">
        <f>(1-(B3/B2))/(2*B12*B11/(B3/B4))</f>
        <v>9.9166666666666667E-2</v>
      </c>
      <c r="C62" s="200"/>
      <c r="D62" s="205"/>
      <c r="F62" s="195">
        <v>60</v>
      </c>
      <c r="G62" s="210">
        <f t="shared" si="0"/>
        <v>168.60609741855956</v>
      </c>
      <c r="H62" s="210">
        <f t="shared" si="1"/>
        <v>168.57881372500071</v>
      </c>
      <c r="I62" s="196">
        <f t="shared" si="2"/>
        <v>1</v>
      </c>
      <c r="J62" s="195">
        <f t="shared" si="19"/>
        <v>1</v>
      </c>
      <c r="K62" s="195">
        <f t="shared" si="20"/>
        <v>1</v>
      </c>
      <c r="L62" s="195">
        <f>10^('Small Signal'!F62/30)</f>
        <v>100</v>
      </c>
      <c r="M62" s="195" t="str">
        <f t="shared" si="21"/>
        <v>628.318530717959i</v>
      </c>
      <c r="N62" s="195">
        <f>IF(D$32=1, IF(AND('Small Signal'!$B$62&gt;=1,FCCM=0),V62+0,S62+0), 0)</f>
        <v>9.1364464464529238</v>
      </c>
      <c r="O62" s="195">
        <f>IF(D$32=1, IF(AND('Small Signal'!$B$62&gt;=1,FCCM=0),W62,T62), 0)</f>
        <v>-1.3426149896535335</v>
      </c>
      <c r="P62" s="195">
        <f>IF(AND('Small Signal'!$B$62&gt;=1,FCCM=0),AF62+0,AC62+0)</f>
        <v>59.522726271022428</v>
      </c>
      <c r="Q62" s="195">
        <f>IF(AND('Small Signal'!$B$62&gt;=1,FCCM=0),AG62,AD62)</f>
        <v>137.24727627277639</v>
      </c>
      <c r="R62" s="195" t="str">
        <f>IMDIV(IMSUM('Small Signal'!$B$2*'Small Signal'!$B$39*'Small Signal'!$B$63,IMPRODUCT(M62,'Small Signal'!$B$2*'Small Signal'!$B$39*'Small Signal'!$B$63*'Small Signal'!$B$14*'Small Signal'!$B$15)),IMSUM(IMPRODUCT('Small Signal'!$B$12*'Small Signal'!$B$14*('Small Signal'!$B$15+'Small Signal'!$B$39),IMPOWER(M62,2)),IMSUM(IMPRODUCT(M62,('Small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2.61344617592418-0.0568746692629677i</v>
      </c>
      <c r="S62" s="195">
        <f t="shared" si="22"/>
        <v>9.1364464464529238</v>
      </c>
      <c r="T62" s="195">
        <f t="shared" si="23"/>
        <v>-1.3426149896535335</v>
      </c>
      <c r="U62" s="195" t="str">
        <f>IMDIV(IMSUM('Small Signal'!$B$75,IMPRODUCT(M62,'Small Signal'!$B$76)),IMSUM(IMPRODUCT('Small Signal'!$B$79,IMPOWER(M62,2)),IMSUM(IMPRODUCT(M62,'Small Signal'!$B$78),'Small Signal'!$B$77)))</f>
        <v>3.06137959446354-0.0511291417352043i</v>
      </c>
      <c r="V62" s="195">
        <f t="shared" si="3"/>
        <v>9.7195548912771521</v>
      </c>
      <c r="W62" s="195">
        <f t="shared" si="4"/>
        <v>-0.95682734154176607</v>
      </c>
      <c r="X62" s="195" t="str">
        <f>IMPRODUCT(IMDIV(IMSUM(IMPRODUCT(M62,'Small Signal'!$B$58*'Small Signal'!$B$6*'Small Signal'!$B$51*'Small Signal'!$B$7*'Small Signal'!$B$8),'Small Signal'!$B$58*'Small Signal'!$B$6*'Small Signal'!$B$51),IMSUM(IMSUM(IMPRODUCT(M62,('Small Signal'!$B$5+'Small Signal'!$B$6)*('Small Signal'!$B$57*'Small Signal'!$B$58)+'Small Signal'!$B$5*'Small Signal'!$B$58*('Small Signal'!$B$8+'Small Signal'!$B$9)+'Small Signal'!$B$6*'Small Signal'!$B$58*('Small Signal'!$B$8+'Small Signal'!$B$9)+'Small Signal'!$B$7*'Small Signal'!$B$8*('Small Signal'!$B$5+'Small Signal'!$B$6)),'Small Signal'!$B$6+'Small Signal'!$B$5),IMPRODUCT(IMPOWER(M62,2),'Small Signal'!$B$57*'Small Signal'!$B$58*'Small Signal'!$B$8*'Small Signal'!$B$7*('Small Signal'!$B$5+'Small Signal'!$B$6)+('Small Signal'!$B$5+'Small Signal'!$B$6)*('Small Signal'!$B$9*'Small Signal'!$B$8*'Small Signal'!$B$58*'Small Signal'!$B$7)))),-1)</f>
        <v>-247.868814088739+218.776085260467i</v>
      </c>
      <c r="Y62" s="195">
        <f t="shared" si="5"/>
        <v>50.386279824569506</v>
      </c>
      <c r="Z62" s="195">
        <f t="shared" si="6"/>
        <v>138.58989126242994</v>
      </c>
      <c r="AA62" s="195" t="str">
        <f t="shared" si="7"/>
        <v>1.00000012345981+0.000391538927313917i</v>
      </c>
      <c r="AB62" s="195" t="str">
        <f t="shared" si="8"/>
        <v>-695.030829661195+642.541166354346i</v>
      </c>
      <c r="AC62" s="192">
        <f t="shared" si="24"/>
        <v>59.522726271022428</v>
      </c>
      <c r="AD62" s="195">
        <f t="shared" si="25"/>
        <v>137.24727627277639</v>
      </c>
      <c r="AE62" s="195" t="str">
        <f t="shared" si="9"/>
        <v>-747.634696083587+682.429962900289i</v>
      </c>
      <c r="AF62" s="192">
        <f t="shared" si="10"/>
        <v>60.105832977703358</v>
      </c>
      <c r="AG62" s="195">
        <f t="shared" si="11"/>
        <v>137.61063039675403</v>
      </c>
      <c r="AI62" s="195" t="str">
        <f t="shared" si="12"/>
        <v>0.002-7.95774715459475i</v>
      </c>
      <c r="AJ62" s="195">
        <f t="shared" si="13"/>
        <v>0.22500000000000001</v>
      </c>
      <c r="AK62" s="195" t="str">
        <f t="shared" si="14"/>
        <v>0.0375-15915.4943091895i</v>
      </c>
      <c r="AL62" s="195" t="str">
        <f t="shared" si="15"/>
        <v>0.224818495495663-0.00635972590649396i</v>
      </c>
      <c r="AM62" s="195" t="str">
        <f t="shared" si="16"/>
        <v>0.898502489388026-0.0000761403594363944i</v>
      </c>
      <c r="AN62" s="195" t="str">
        <f t="shared" si="17"/>
        <v>0.006+0.000865540833131882i</v>
      </c>
      <c r="AO62" s="195" t="str">
        <f t="shared" si="26"/>
        <v>2.86222040909126-0.067082839151007i</v>
      </c>
      <c r="AP62" s="195">
        <f t="shared" si="27"/>
        <v>9.1364464464529238</v>
      </c>
      <c r="AQ62" s="195">
        <f t="shared" si="28"/>
        <v>-1.3426149896535335</v>
      </c>
      <c r="AS62" s="195" t="str">
        <f t="shared" si="18"/>
        <v>0.921951212541492-0.0000801663726328836i</v>
      </c>
      <c r="AT62" s="195" t="str">
        <f t="shared" si="29"/>
        <v>2.8771716137273-0.0677183933770233i</v>
      </c>
      <c r="AU62" s="195">
        <f t="shared" si="30"/>
        <v>9.1817205078659239</v>
      </c>
      <c r="AV62" s="195">
        <f t="shared" si="31"/>
        <v>-1.3482900703654244</v>
      </c>
    </row>
    <row r="63" spans="1:48" x14ac:dyDescent="0.2">
      <c r="A63" s="198" t="s">
        <v>18</v>
      </c>
      <c r="B63" s="202">
        <f>1*B11/(B64+B55)</f>
        <v>0.81725312145289442</v>
      </c>
      <c r="C63" s="200" t="s">
        <v>311</v>
      </c>
      <c r="D63" s="205"/>
      <c r="F63" s="195">
        <v>61</v>
      </c>
      <c r="G63" s="210">
        <f t="shared" si="0"/>
        <v>168.60827397767659</v>
      </c>
      <c r="H63" s="210">
        <f t="shared" si="1"/>
        <v>168.57881372500071</v>
      </c>
      <c r="I63" s="196">
        <f t="shared" si="2"/>
        <v>1</v>
      </c>
      <c r="J63" s="195">
        <f t="shared" si="19"/>
        <v>1</v>
      </c>
      <c r="K63" s="195">
        <f t="shared" si="20"/>
        <v>1</v>
      </c>
      <c r="L63" s="195">
        <f>10^('Small Signal'!F63/30)</f>
        <v>107.97751623277095</v>
      </c>
      <c r="M63" s="195" t="str">
        <f t="shared" si="21"/>
        <v>678.442743499492i</v>
      </c>
      <c r="N63" s="195">
        <f>IF(D$32=1, IF(AND('Small Signal'!$B$62&gt;=1,FCCM=0),V63+0,S63+0), 0)</f>
        <v>9.1360740097188415</v>
      </c>
      <c r="O63" s="195">
        <f>IF(D$32=1, IF(AND('Small Signal'!$B$62&gt;=1,FCCM=0),W63,T63), 0)</f>
        <v>-1.4496821847320955</v>
      </c>
      <c r="P63" s="195">
        <f>IF(AND('Small Signal'!$B$62&gt;=1,FCCM=0),AF63+0,AC63+0)</f>
        <v>59.209215117992962</v>
      </c>
      <c r="Q63" s="195">
        <f>IF(AND('Small Signal'!$B$62&gt;=1,FCCM=0),AG63,AD63)</f>
        <v>135.0071538267573</v>
      </c>
      <c r="R63" s="195" t="str">
        <f>IMDIV(IMSUM('Small Signal'!$B$2*'Small Signal'!$B$39*'Small Signal'!$B$63,IMPRODUCT(M63,'Small Signal'!$B$2*'Small Signal'!$B$39*'Small Signal'!$B$63*'Small Signal'!$B$14*'Small Signal'!$B$15)),IMSUM(IMPRODUCT('Small Signal'!$B$12*'Small Signal'!$B$14*('Small Signal'!$B$15+'Small Signal'!$B$39),IMPOWER(M63,2)),IMSUM(IMPRODUCT(M63,('Small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2.61325123479404-0.0614075195774979i</v>
      </c>
      <c r="S63" s="195">
        <f t="shared" si="22"/>
        <v>9.1360740097188415</v>
      </c>
      <c r="T63" s="195">
        <f t="shared" si="23"/>
        <v>-1.4496821847320955</v>
      </c>
      <c r="U63" s="195" t="str">
        <f>IMDIV(IMSUM('Small Signal'!$B$75,IMPRODUCT(M63,'Small Signal'!$B$76)),IMSUM(IMPRODUCT('Small Signal'!$B$79,IMPOWER(M63,2)),IMSUM(IMPRODUCT(M63,'Small Signal'!$B$78),'Small Signal'!$B$77)))</f>
        <v>3.06126831839055-0.0552065266459878i</v>
      </c>
      <c r="V63" s="195">
        <f t="shared" si="3"/>
        <v>9.7194401240172841</v>
      </c>
      <c r="W63" s="195">
        <f t="shared" si="4"/>
        <v>-1.0331528681805051</v>
      </c>
      <c r="X63" s="195" t="str">
        <f>IMPRODUCT(IMDIV(IMSUM(IMPRODUCT(M63,'Small Signal'!$B$58*'Small Signal'!$B$6*'Small Signal'!$B$51*'Small Signal'!$B$7*'Small Signal'!$B$8),'Small Signal'!$B$58*'Small Signal'!$B$6*'Small Signal'!$B$51),IMSUM(IMSUM(IMPRODUCT(M63,('Small Signal'!$B$5+'Small Signal'!$B$6)*('Small Signal'!$B$57*'Small Signal'!$B$58)+'Small Signal'!$B$5*'Small Signal'!$B$58*('Small Signal'!$B$8+'Small Signal'!$B$9)+'Small Signal'!$B$6*'Small Signal'!$B$58*('Small Signal'!$B$8+'Small Signal'!$B$9)+'Small Signal'!$B$7*'Small Signal'!$B$8*('Small Signal'!$B$5+'Small Signal'!$B$6)),'Small Signal'!$B$6+'Small Signal'!$B$5),IMPRODUCT(IMPOWER(M63,2),'Small Signal'!$B$57*'Small Signal'!$B$58*'Small Signal'!$B$8*'Small Signal'!$B$7*('Small Signal'!$B$5+'Small Signal'!$B$6)+('Small Signal'!$B$5+'Small Signal'!$B$6)*('Small Signal'!$B$9*'Small Signal'!$B$8*'Small Signal'!$B$58*'Small Signal'!$B$7)))),-1)</f>
        <v>-231.064843274973+219.789418595631i</v>
      </c>
      <c r="Y63" s="195">
        <f t="shared" si="5"/>
        <v>50.073141108274115</v>
      </c>
      <c r="Z63" s="195">
        <f t="shared" si="6"/>
        <v>136.45683601148943</v>
      </c>
      <c r="AA63" s="195" t="str">
        <f t="shared" si="7"/>
        <v>1.00000014394357+0.000422774001823814i</v>
      </c>
      <c r="AB63" s="195" t="str">
        <f t="shared" si="8"/>
        <v>-645.654193896878+645.492984059857i</v>
      </c>
      <c r="AC63" s="192">
        <f t="shared" si="24"/>
        <v>59.209215117992962</v>
      </c>
      <c r="AD63" s="195">
        <f t="shared" si="25"/>
        <v>135.0071538267573</v>
      </c>
      <c r="AE63" s="195" t="str">
        <f t="shared" si="9"/>
        <v>-695.217673817347+685.590671291495i</v>
      </c>
      <c r="AF63" s="192">
        <f t="shared" si="10"/>
        <v>59.792579205765179</v>
      </c>
      <c r="AG63" s="195">
        <f t="shared" si="11"/>
        <v>135.39945998224653</v>
      </c>
      <c r="AI63" s="195" t="str">
        <f t="shared" si="12"/>
        <v>0.002-7.36981867358385i</v>
      </c>
      <c r="AJ63" s="195">
        <f t="shared" si="13"/>
        <v>0.22500000000000001</v>
      </c>
      <c r="AK63" s="195" t="str">
        <f t="shared" si="14"/>
        <v>0.0375-14739.6373471677i</v>
      </c>
      <c r="AL63" s="195" t="str">
        <f t="shared" si="15"/>
        <v>0.224788409855418-0.00686614694094728i</v>
      </c>
      <c r="AM63" s="195" t="str">
        <f t="shared" si="16"/>
        <v>0.898502488317505-0.0000822144688721679i</v>
      </c>
      <c r="AN63" s="195" t="str">
        <f t="shared" si="17"/>
        <v>0.006+0.000934589493596239i</v>
      </c>
      <c r="AO63" s="195" t="str">
        <f t="shared" si="26"/>
        <v>2.86196733666882-0.0724281731828701i</v>
      </c>
      <c r="AP63" s="195">
        <f t="shared" si="27"/>
        <v>9.1360740097188415</v>
      </c>
      <c r="AQ63" s="195">
        <f t="shared" si="28"/>
        <v>-1.4496821847320955</v>
      </c>
      <c r="AS63" s="195" t="str">
        <f t="shared" si="18"/>
        <v>0.921951211384953-0.0000865616579143078i</v>
      </c>
      <c r="AT63" s="195" t="str">
        <f t="shared" si="29"/>
        <v>2.87691477615148-0.0731143021576555i</v>
      </c>
      <c r="AU63" s="195">
        <f t="shared" si="30"/>
        <v>9.181344044784673</v>
      </c>
      <c r="AV63" s="195">
        <f t="shared" si="31"/>
        <v>-1.4558093371479628</v>
      </c>
    </row>
    <row r="64" spans="1:48" x14ac:dyDescent="0.2">
      <c r="A64" s="198" t="s">
        <v>44</v>
      </c>
      <c r="B64" s="201">
        <f>Ri*((Vi_ss-Vo_ss)/Lo_ss)</f>
        <v>462777.77777777781</v>
      </c>
      <c r="C64" s="201">
        <f>Ri*((Vin_max-Vo_ss)/Lo_ss)</f>
        <v>490000.00000000012</v>
      </c>
      <c r="D64" s="205"/>
      <c r="F64" s="195">
        <v>62</v>
      </c>
      <c r="G64" s="210">
        <f t="shared" si="0"/>
        <v>168.61062417164163</v>
      </c>
      <c r="H64" s="210">
        <f t="shared" si="1"/>
        <v>168.57881372500071</v>
      </c>
      <c r="I64" s="196">
        <f t="shared" si="2"/>
        <v>1</v>
      </c>
      <c r="J64" s="195">
        <f t="shared" si="19"/>
        <v>1</v>
      </c>
      <c r="K64" s="195">
        <f t="shared" si="20"/>
        <v>1</v>
      </c>
      <c r="L64" s="195">
        <f>10^('Small Signal'!F64/30)</f>
        <v>116.59144011798328</v>
      </c>
      <c r="M64" s="195" t="str">
        <f t="shared" si="21"/>
        <v>732.565623492221i</v>
      </c>
      <c r="N64" s="195">
        <f>IF(D$32=1, IF(AND('Small Signal'!$B$62&gt;=1,FCCM=0),V64+0,S64+0), 0)</f>
        <v>9.1356398205813711</v>
      </c>
      <c r="O64" s="195">
        <f>IF(D$32=1, IF(AND('Small Signal'!$B$62&gt;=1,FCCM=0),W64,T64), 0)</f>
        <v>-1.5652802966748371</v>
      </c>
      <c r="P64" s="195">
        <f>IF(AND('Small Signal'!$B$62&gt;=1,FCCM=0),AF64+0,AC64+0)</f>
        <v>58.870116576953457</v>
      </c>
      <c r="Q64" s="195">
        <f>IF(AND('Small Signal'!$B$62&gt;=1,FCCM=0),AG64,AD64)</f>
        <v>132.75969310297478</v>
      </c>
      <c r="R64" s="195" t="str">
        <f>IMDIV(IMSUM('Small Signal'!$B$2*'Small Signal'!$B$39*'Small Signal'!$B$63,IMPRODUCT(M64,'Small Signal'!$B$2*'Small Signal'!$B$39*'Small Signal'!$B$63*'Small Signal'!$B$14*'Small Signal'!$B$15)),IMSUM(IMPRODUCT('Small Signal'!$B$12*'Small Signal'!$B$14*('Small Signal'!$B$15+'Small Signal'!$B$39),IMPOWER(M64,2)),IMSUM(IMPRODUCT(M64,('Small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2.61302398474713-0.0663008569808687i</v>
      </c>
      <c r="S64" s="195">
        <f t="shared" si="22"/>
        <v>9.1356398205813711</v>
      </c>
      <c r="T64" s="195">
        <f t="shared" si="23"/>
        <v>-1.5652802966748371</v>
      </c>
      <c r="U64" s="195" t="str">
        <f>IMDIV(IMSUM('Small Signal'!$B$75,IMPRODUCT(M64,'Small Signal'!$B$76)),IMSUM(IMPRODUCT('Small Signal'!$B$79,IMPOWER(M64,2)),IMSUM(IMPRODUCT(M64,'Small Signal'!$B$78),'Small Signal'!$B$77)))</f>
        <v>3.06113858657154-0.0596088100719608i</v>
      </c>
      <c r="V64" s="195">
        <f t="shared" si="3"/>
        <v>9.7193063178122152</v>
      </c>
      <c r="W64" s="195">
        <f t="shared" si="4"/>
        <v>-1.1155658444519969</v>
      </c>
      <c r="X64" s="195" t="str">
        <f>IMPRODUCT(IMDIV(IMSUM(IMPRODUCT(M64,'Small Signal'!$B$58*'Small Signal'!$B$6*'Small Signal'!$B$51*'Small Signal'!$B$7*'Small Signal'!$B$8),'Small Signal'!$B$58*'Small Signal'!$B$6*'Small Signal'!$B$51),IMSUM(IMSUM(IMPRODUCT(M64,('Small Signal'!$B$5+'Small Signal'!$B$6)*('Small Signal'!$B$57*'Small Signal'!$B$58)+'Small Signal'!$B$5*'Small Signal'!$B$58*('Small Signal'!$B$8+'Small Signal'!$B$9)+'Small Signal'!$B$6*'Small Signal'!$B$58*('Small Signal'!$B$8+'Small Signal'!$B$9)+'Small Signal'!$B$7*'Small Signal'!$B$8*('Small Signal'!$B$5+'Small Signal'!$B$6)),'Small Signal'!$B$6+'Small Signal'!$B$5),IMPRODUCT(IMPOWER(M64,2),'Small Signal'!$B$57*'Small Signal'!$B$58*'Small Signal'!$B$8*'Small Signal'!$B$7*('Small Signal'!$B$5+'Small Signal'!$B$6)+('Small Signal'!$B$5+'Small Signal'!$B$6)*('Small Signal'!$B$9*'Small Signal'!$B$8*'Small Signal'!$B$58*'Small Signal'!$B$7)))),-1)</f>
        <v>-214.204343469144+219.512406931396i</v>
      </c>
      <c r="Y64" s="195">
        <f t="shared" si="5"/>
        <v>49.734476756372075</v>
      </c>
      <c r="Z64" s="195">
        <f t="shared" si="6"/>
        <v>134.32497339964962</v>
      </c>
      <c r="AA64" s="195" t="str">
        <f t="shared" si="7"/>
        <v>1.00000016782588+0.000456500857667264i</v>
      </c>
      <c r="AB64" s="195" t="str">
        <f t="shared" si="8"/>
        <v>-596.111648043117+644.651119323085i</v>
      </c>
      <c r="AC64" s="192">
        <f t="shared" si="24"/>
        <v>58.870116576953457</v>
      </c>
      <c r="AD64" s="195">
        <f t="shared" si="25"/>
        <v>132.75969310297478</v>
      </c>
      <c r="AE64" s="195" t="str">
        <f t="shared" si="9"/>
        <v>-642.624307831408+684.726365115332i</v>
      </c>
      <c r="AF64" s="192">
        <f t="shared" si="10"/>
        <v>59.453780711428308</v>
      </c>
      <c r="AG64" s="195">
        <f t="shared" si="11"/>
        <v>133.18325198891563</v>
      </c>
      <c r="AI64" s="195" t="str">
        <f t="shared" si="12"/>
        <v>0.002-6.82532709651929i</v>
      </c>
      <c r="AJ64" s="195">
        <f t="shared" si="13"/>
        <v>0.22500000000000001</v>
      </c>
      <c r="AK64" s="195" t="str">
        <f t="shared" si="14"/>
        <v>0.0375-13650.6541930386i</v>
      </c>
      <c r="AL64" s="195" t="str">
        <f t="shared" si="15"/>
        <v>0.224753342829968-0.00741272807882951i</v>
      </c>
      <c r="AM64" s="195" t="str">
        <f t="shared" si="16"/>
        <v>0.898502487069372-0.0000887731413488151i</v>
      </c>
      <c r="AN64" s="195" t="str">
        <f t="shared" si="17"/>
        <v>0.006+0.00100914652215765i</v>
      </c>
      <c r="AO64" s="195" t="str">
        <f t="shared" si="26"/>
        <v>2.86167233061247-0.0781983255372053i</v>
      </c>
      <c r="AP64" s="195">
        <f t="shared" si="27"/>
        <v>9.1356398205813711</v>
      </c>
      <c r="AQ64" s="195">
        <f t="shared" si="28"/>
        <v>-1.5652802966748371</v>
      </c>
      <c r="AS64" s="195" t="str">
        <f t="shared" si="18"/>
        <v>0.921951210036527-0.0000934671280890751i</v>
      </c>
      <c r="AT64" s="195" t="str">
        <f t="shared" si="29"/>
        <v>2.8766153816687-0.0789390311113024i</v>
      </c>
      <c r="AU64" s="195">
        <f t="shared" si="30"/>
        <v>9.1809051621537954</v>
      </c>
      <c r="AV64" s="195">
        <f t="shared" si="31"/>
        <v>-1.571895414467797</v>
      </c>
    </row>
    <row r="65" spans="1:48" x14ac:dyDescent="0.2">
      <c r="A65" s="198" t="s">
        <v>205</v>
      </c>
      <c r="B65" s="201">
        <f>Ri*((Vo_ss)/Lo_ss)</f>
        <v>81666.666666666686</v>
      </c>
      <c r="C65" s="200"/>
      <c r="D65" s="205"/>
      <c r="F65" s="195">
        <v>63</v>
      </c>
      <c r="G65" s="210">
        <f t="shared" si="0"/>
        <v>168.61316185207102</v>
      </c>
      <c r="H65" s="210">
        <f t="shared" si="1"/>
        <v>168.57881372500071</v>
      </c>
      <c r="I65" s="196">
        <f t="shared" si="2"/>
        <v>1</v>
      </c>
      <c r="J65" s="195">
        <f t="shared" si="19"/>
        <v>1</v>
      </c>
      <c r="K65" s="195">
        <f t="shared" si="20"/>
        <v>1</v>
      </c>
      <c r="L65" s="195">
        <f>10^('Small Signal'!F65/30)</f>
        <v>125.89254117941677</v>
      </c>
      <c r="M65" s="195" t="str">
        <f t="shared" si="21"/>
        <v>791.006165022012i</v>
      </c>
      <c r="N65" s="195">
        <f>IF(D$32=1, IF(AND('Small Signal'!$B$62&gt;=1,FCCM=0),V65+0,S65+0), 0)</f>
        <v>9.1351336478679297</v>
      </c>
      <c r="O65" s="195">
        <f>IF(D$32=1, IF(AND('Small Signal'!$B$62&gt;=1,FCCM=0),W65,T65), 0)</f>
        <v>-1.6900871941876607</v>
      </c>
      <c r="P65" s="195">
        <f>IF(AND('Small Signal'!$B$62&gt;=1,FCCM=0),AF65+0,AC65+0)</f>
        <v>58.505488163133123</v>
      </c>
      <c r="Q65" s="195">
        <f>IF(AND('Small Signal'!$B$62&gt;=1,FCCM=0),AG65,AD65)</f>
        <v>130.51750213722801</v>
      </c>
      <c r="R65" s="195" t="str">
        <f>IMDIV(IMSUM('Small Signal'!$B$2*'Small Signal'!$B$39*'Small Signal'!$B$63,IMPRODUCT(M65,'Small Signal'!$B$2*'Small Signal'!$B$39*'Small Signal'!$B$63*'Small Signal'!$B$14*'Small Signal'!$B$15)),IMSUM(IMPRODUCT('Small Signal'!$B$12*'Small Signal'!$B$14*('Small Signal'!$B$15+'Small Signal'!$B$39),IMPOWER(M65,2)),IMSUM(IMPRODUCT(M65,('Small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2.61275907769961-0.0715831493201263i</v>
      </c>
      <c r="S65" s="195">
        <f t="shared" si="22"/>
        <v>9.1351336478679297</v>
      </c>
      <c r="T65" s="195">
        <f t="shared" si="23"/>
        <v>-1.6900871941876607</v>
      </c>
      <c r="U65" s="195" t="str">
        <f>IMDIV(IMSUM('Small Signal'!$B$75,IMPRODUCT(M65,'Small Signal'!$B$76)),IMSUM(IMPRODUCT('Small Signal'!$B$79,IMPOWER(M65,2)),IMSUM(IMPRODUCT(M65,'Small Signal'!$B$78),'Small Signal'!$B$77)))</f>
        <v>3.06098733928807-0.064361813652155i</v>
      </c>
      <c r="V65" s="195">
        <f t="shared" si="3"/>
        <v>9.7191503147594513</v>
      </c>
      <c r="W65" s="195">
        <f t="shared" si="4"/>
        <v>-1.2045515270314073</v>
      </c>
      <c r="X65" s="195" t="str">
        <f>IMPRODUCT(IMDIV(IMSUM(IMPRODUCT(M65,'Small Signal'!$B$58*'Small Signal'!$B$6*'Small Signal'!$B$51*'Small Signal'!$B$7*'Small Signal'!$B$8),'Small Signal'!$B$58*'Small Signal'!$B$6*'Small Signal'!$B$51),IMSUM(IMSUM(IMPRODUCT(M65,('Small Signal'!$B$5+'Small Signal'!$B$6)*('Small Signal'!$B$57*'Small Signal'!$B$58)+'Small Signal'!$B$5*'Small Signal'!$B$58*('Small Signal'!$B$8+'Small Signal'!$B$9)+'Small Signal'!$B$6*'Small Signal'!$B$58*('Small Signal'!$B$8+'Small Signal'!$B$9)+'Small Signal'!$B$7*'Small Signal'!$B$8*('Small Signal'!$B$5+'Small Signal'!$B$6)),'Small Signal'!$B$6+'Small Signal'!$B$5),IMPRODUCT(IMPOWER(M65,2),'Small Signal'!$B$57*'Small Signal'!$B$58*'Small Signal'!$B$8*'Small Signal'!$B$7*('Small Signal'!$B$5+'Small Signal'!$B$6)+('Small Signal'!$B$5+'Small Signal'!$B$6)*('Small Signal'!$B$9*'Small Signal'!$B$8*'Small Signal'!$B$58*'Small Signal'!$B$7)))),-1)</f>
        <v>-197.484738926321+217.953150776552i</v>
      </c>
      <c r="Y65" s="195">
        <f t="shared" si="5"/>
        <v>49.370354515265198</v>
      </c>
      <c r="Z65" s="195">
        <f t="shared" si="6"/>
        <v>132.2075893314157</v>
      </c>
      <c r="AA65" s="195" t="str">
        <f t="shared" si="7"/>
        <v>1.0000001956706+0.000492918276637064i</v>
      </c>
      <c r="AB65" s="195" t="str">
        <f t="shared" si="8"/>
        <v>-546.983348592101+640.039213404854i</v>
      </c>
      <c r="AC65" s="192">
        <f t="shared" si="24"/>
        <v>58.505488163133123</v>
      </c>
      <c r="AD65" s="195">
        <f t="shared" si="25"/>
        <v>130.51750213722801</v>
      </c>
      <c r="AE65" s="195" t="str">
        <f t="shared" si="9"/>
        <v>-590.470425480898+679.86231105089i</v>
      </c>
      <c r="AF65" s="192">
        <f t="shared" si="10"/>
        <v>59.089502075253648</v>
      </c>
      <c r="AG65" s="195">
        <f t="shared" si="11"/>
        <v>130.97479567530158</v>
      </c>
      <c r="AI65" s="195" t="str">
        <f t="shared" si="12"/>
        <v>0.002-6.32106324969145i</v>
      </c>
      <c r="AJ65" s="195">
        <f t="shared" si="13"/>
        <v>0.22500000000000001</v>
      </c>
      <c r="AK65" s="195" t="str">
        <f t="shared" si="14"/>
        <v>0.0375-12642.1264993829i</v>
      </c>
      <c r="AL65" s="195" t="str">
        <f t="shared" si="15"/>
        <v>0.22471247161462-0.00800261118954205i</v>
      </c>
      <c r="AM65" s="195" t="str">
        <f t="shared" si="16"/>
        <v>0.898502485614154-0.0000958550329550098i</v>
      </c>
      <c r="AN65" s="195" t="str">
        <f t="shared" si="17"/>
        <v>0.006+0.00108965134977522i</v>
      </c>
      <c r="AO65" s="195" t="str">
        <f t="shared" si="26"/>
        <v>2.86132845317202-0.0844267708611467i</v>
      </c>
      <c r="AP65" s="195">
        <f t="shared" si="27"/>
        <v>9.1351336478679297</v>
      </c>
      <c r="AQ65" s="195">
        <f t="shared" si="28"/>
        <v>-1.6900871941876607</v>
      </c>
      <c r="AS65" s="195" t="str">
        <f t="shared" si="18"/>
        <v>0.921951208464377-0.000100923483232586i</v>
      </c>
      <c r="AT65" s="195" t="str">
        <f t="shared" si="29"/>
        <v>2.87626638962821-0.0852263656727953i</v>
      </c>
      <c r="AU65" s="195">
        <f t="shared" si="30"/>
        <v>9.1803935184281684</v>
      </c>
      <c r="AV65" s="195">
        <f t="shared" si="31"/>
        <v>-1.6972289904005688</v>
      </c>
    </row>
    <row r="66" spans="1:48" x14ac:dyDescent="0.2">
      <c r="A66" s="198" t="s">
        <v>206</v>
      </c>
      <c r="B66" s="203">
        <f>B55/B65</f>
        <v>4.8214285714285703</v>
      </c>
      <c r="C66" s="200"/>
      <c r="D66" s="205"/>
      <c r="F66" s="195">
        <v>64</v>
      </c>
      <c r="G66" s="210">
        <f t="shared" ref="G66:G129" si="33">DEGREES((ATAN(10)+ATAN(L66/(fsw/6))-ATAN(L66/(fsw/6*Vo_ss/Vref))-ATAN(MAX(1/10,L66/(fsw/2)))))+90</f>
        <v>168.615901975562</v>
      </c>
      <c r="H66" s="210">
        <f t="shared" ref="H66:H129" si="34">DEGREES((ATAN(10)-ATAN(MAX(1/10,L66/(fsw/2)))))+90</f>
        <v>168.57881372500071</v>
      </c>
      <c r="I66" s="196">
        <f t="shared" ref="I66:I129" si="35">IF(fz_cff&gt;fsw/4,IF(AV66+H66&gt;65,1,0),IF(AV66+G66&gt;65,1,0))</f>
        <v>1</v>
      </c>
      <c r="J66" s="195">
        <f t="shared" si="19"/>
        <v>1</v>
      </c>
      <c r="K66" s="195">
        <f t="shared" si="20"/>
        <v>1</v>
      </c>
      <c r="L66" s="195">
        <f>10^('Small Signal'!F66/30)</f>
        <v>135.93563908785265</v>
      </c>
      <c r="M66" s="195" t="str">
        <f t="shared" ref="M66:M129" si="36">COMPLEX(0,L66*2*PI())</f>
        <v>854.108810238863i</v>
      </c>
      <c r="N66" s="195">
        <f>IF(D$32=1, IF(AND('Small Signal'!$B$62&gt;=1,FCCM=0),V66+0,S66+0), 0)</f>
        <v>9.1345435680894642</v>
      </c>
      <c r="O66" s="195">
        <f>IF(D$32=1, IF(AND('Small Signal'!$B$62&gt;=1,FCCM=0),W66,T66), 0)</f>
        <v>-1.8248341286691296</v>
      </c>
      <c r="P66" s="195">
        <f>IF(AND('Small Signal'!$B$62&gt;=1,FCCM=0),AF66+0,AC66+0)</f>
        <v>58.11568181925665</v>
      </c>
      <c r="Q66" s="195">
        <f>IF(AND('Small Signal'!$B$62&gt;=1,FCCM=0),AG66,AD66)</f>
        <v>128.29289877435684</v>
      </c>
      <c r="R66" s="195" t="str">
        <f>IMDIV(IMSUM('Small Signal'!$B$2*'Small Signal'!$B$39*'Small Signal'!$B$63,IMPRODUCT(M66,'Small Signal'!$B$2*'Small Signal'!$B$39*'Small Signal'!$B$63*'Small Signal'!$B$14*'Small Signal'!$B$15)),IMSUM(IMPRODUCT('Small Signal'!$B$12*'Small Signal'!$B$14*('Small Signal'!$B$15+'Small Signal'!$B$39),IMPOWER(M66,2)),IMSUM(IMPRODUCT(M66,('Small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2.61245028270374-0.0772850605447663i</v>
      </c>
      <c r="S66" s="195">
        <f t="shared" si="22"/>
        <v>9.1345435680894642</v>
      </c>
      <c r="T66" s="195">
        <f t="shared" si="23"/>
        <v>-1.8248341286691296</v>
      </c>
      <c r="U66" s="195" t="str">
        <f>IMDIV(IMSUM('Small Signal'!$B$75,IMPRODUCT(M66,'Small Signal'!$B$76)),IMSUM(IMPRODUCT('Small Signal'!$B$79,IMPOWER(M66,2)),IMSUM(IMPRODUCT(M66,'Small Signal'!$B$78),'Small Signal'!$B$77)))</f>
        <v>3.06081101001649-0.0694933938045307i</v>
      </c>
      <c r="V66" s="195">
        <f t="shared" ref="V66:V129" si="37">20*LOG(IMABS(U66))</f>
        <v>9.7189684333501667</v>
      </c>
      <c r="W66" s="195">
        <f t="shared" ref="W66:W129" si="38">(180/PI())*IMARGUMENT(U66)</f>
        <v>-1.3006337881024452</v>
      </c>
      <c r="X66" s="195" t="str">
        <f>IMPRODUCT(IMDIV(IMSUM(IMPRODUCT(M66,'Small Signal'!$B$58*'Small Signal'!$B$6*'Small Signal'!$B$51*'Small Signal'!$B$7*'Small Signal'!$B$8),'Small Signal'!$B$58*'Small Signal'!$B$6*'Small Signal'!$B$51),IMSUM(IMSUM(IMPRODUCT(M66,('Small Signal'!$B$5+'Small Signal'!$B$6)*('Small Signal'!$B$57*'Small Signal'!$B$58)+'Small Signal'!$B$5*'Small Signal'!$B$58*('Small Signal'!$B$8+'Small Signal'!$B$9)+'Small Signal'!$B$6*'Small Signal'!$B$58*('Small Signal'!$B$8+'Small Signal'!$B$9)+'Small Signal'!$B$7*'Small Signal'!$B$8*('Small Signal'!$B$5+'Small Signal'!$B$6)),'Small Signal'!$B$6+'Small Signal'!$B$5),IMPRODUCT(IMPOWER(M66,2),'Small Signal'!$B$57*'Small Signal'!$B$58*'Small Signal'!$B$8*'Small Signal'!$B$7*('Small Signal'!$B$5+'Small Signal'!$B$6)+('Small Signal'!$B$5+'Small Signal'!$B$6)*('Small Signal'!$B$9*'Small Signal'!$B$8*'Small Signal'!$B$58*'Small Signal'!$B$7)))),-1)</f>
        <v>-181.096926510622+215.156764453166i</v>
      </c>
      <c r="Y66" s="195">
        <f t="shared" ref="Y66:Y129" si="39">IF(D$33=1, 20*LOG(IMABS(AA66))+20*LOG(IMABS(X66)), 0)</f>
        <v>48.981138251167181</v>
      </c>
      <c r="Z66" s="195">
        <f t="shared" ref="Z66:Z129" si="40">IF(D$33=1, (180/PI())*IMARGUMENT(AA66)+(180/PI())*IMARGUMENT(X66), 0)</f>
        <v>130.117732903026</v>
      </c>
      <c r="AA66" s="195" t="str">
        <f t="shared" ref="AA66:AA129" si="41">IMDIV(COMPLEX(1,IMABS(M66)/(2*PI()*fz_cff)),COMPLEX(1,IMABS(M66)/(2*PI()*fp_cff)))</f>
        <v>1.00000022813517+0.00053224089825475i</v>
      </c>
      <c r="AB66" s="195" t="str">
        <f t="shared" ref="AB66:AB129" si="42">IMPRODUCT(AO66,X66,AA66)</f>
        <v>-498.830276952489+631.789658855626i</v>
      </c>
      <c r="AC66" s="192">
        <f t="shared" ref="AC66:AC129" si="43">20*LOG(IMABS(AB66))</f>
        <v>58.11568181925665</v>
      </c>
      <c r="AD66" s="195">
        <f t="shared" ref="AD66:AD129" si="44">(180/PI())*IMARGUMENT(AB66)</f>
        <v>128.29289877435684</v>
      </c>
      <c r="AE66" s="195" t="str">
        <f t="shared" ref="AE66:AE129" si="45">IMPRODUCT(U66,X66)</f>
        <v>-539.351492782007+671.139233548568i</v>
      </c>
      <c r="AF66" s="192">
        <f t="shared" ref="AF66:AF129" si="46">20*LOG(IMABS(AE66))</f>
        <v>58.700103472690373</v>
      </c>
      <c r="AG66" s="195">
        <f t="shared" ref="AG66:AG129" si="47">(180/PI())*IMARGUMENT(AE66)</f>
        <v>128.78660396760588</v>
      </c>
      <c r="AI66" s="195" t="str">
        <f t="shared" ref="AI66:AI129" si="48">IMSUM(ESR_ss,IMDIV(1,IMPRODUCT(Co_ss,M66)))</f>
        <v>0.002-5.85405505722587i</v>
      </c>
      <c r="AJ66" s="195">
        <f t="shared" ref="AJ66:AJ129" si="49">Ro</f>
        <v>0.22500000000000001</v>
      </c>
      <c r="AK66" s="195" t="str">
        <f t="shared" ref="AK66:AK129" si="50">IMSUM(ESR2_ss,IMDIV(1,IMPRODUCT(Co2_ss,M66)))</f>
        <v>0.0375-11708.1101144518i</v>
      </c>
      <c r="AL66" s="195" t="str">
        <f t="shared" ref="AL66:AL129" si="51">IMDIV(1,(IMSUM(IMDIV(1,AI66),IMDIV(1,AJ66),IMDIV(1,AK66))))</f>
        <v>0.224664838207673-0.00863917283011792i</v>
      </c>
      <c r="AM66" s="195" t="str">
        <f t="shared" ref="AM66:AM129" si="52">IMDIV(IMPRODUCT(Re,IMDIV(1,IMPRODUCT(Ce,M66))),IMSUM(Re,IMDIV(1,IMPRODUCT(Ce,M66))))</f>
        <v>0.898502483917495-0.000103501883573479i</v>
      </c>
      <c r="AN66" s="195" t="str">
        <f t="shared" ref="AN66:AN129" si="53">IMSUM(Rdc_ss,IMPRODUCT(Lo_ss,M66))</f>
        <v>0.006+0.00117657846308415i</v>
      </c>
      <c r="AO66" s="195" t="str">
        <f t="shared" ref="AO66:AO129" si="54">IMDIV(IMPRODUCT(AL66,AM66),IMPRODUCT(Ri,IMSUM(AM66,AL66,AN66)))</f>
        <v>2.86092762257039-0.091149547031165i</v>
      </c>
      <c r="AP66" s="195">
        <f t="shared" si="27"/>
        <v>9.1345435680894642</v>
      </c>
      <c r="AQ66" s="195">
        <f t="shared" si="28"/>
        <v>-1.8248341286691296</v>
      </c>
      <c r="AS66" s="195" t="str">
        <f t="shared" ref="AS66:AS129" si="55">IMDIV(IMPRODUCT(Re_vimax,IMDIV(1,IMPRODUCT(Ce,M66))),IMSUM(Re_vimax,IMDIV(1,IMPRODUCT(Ce,M66))))</f>
        <v>0.921951206631385-0.000108974670273484i</v>
      </c>
      <c r="AT66" s="195" t="str">
        <f t="shared" ref="AT66:AT129" si="56">IMDIV(IMPRODUCT(AL66,AS66),IMPRODUCT(Ri,IMSUM(AS66,AL66,AN66)))</f>
        <v>2.87585959846249-0.0920126771187602i</v>
      </c>
      <c r="AU66" s="195">
        <f t="shared" si="30"/>
        <v>9.1797970615480509</v>
      </c>
      <c r="AV66" s="195">
        <f t="shared" si="31"/>
        <v>-1.832544349257311</v>
      </c>
    </row>
    <row r="67" spans="1:48" x14ac:dyDescent="0.2">
      <c r="A67" s="198"/>
      <c r="B67" s="200"/>
      <c r="C67" s="200"/>
      <c r="D67" s="205"/>
      <c r="F67" s="195">
        <v>65</v>
      </c>
      <c r="G67" s="210">
        <f t="shared" si="33"/>
        <v>168.6188606918339</v>
      </c>
      <c r="H67" s="210">
        <f t="shared" si="34"/>
        <v>168.57881372500071</v>
      </c>
      <c r="I67" s="196">
        <f t="shared" si="35"/>
        <v>1</v>
      </c>
      <c r="J67" s="195">
        <f t="shared" ref="J67:J130" si="57">IF(P67&gt;0,1,0)</f>
        <v>1</v>
      </c>
      <c r="K67" s="195">
        <f t="shared" ref="K67:K130" si="58">IF(Q67&gt;0,1,0)</f>
        <v>1</v>
      </c>
      <c r="L67" s="195">
        <f>10^('Small Signal'!F67/30)</f>
        <v>146.77992676220697</v>
      </c>
      <c r="M67" s="195" t="str">
        <f t="shared" si="36"/>
        <v>922.245479221195i</v>
      </c>
      <c r="N67" s="195">
        <f>IF(D$32=1, IF(AND('Small Signal'!$B$62&gt;=1,FCCM=0),V67+0,S67+0), 0)</f>
        <v>9.1338556865202829</v>
      </c>
      <c r="O67" s="195">
        <f>IF(D$32=1, IF(AND('Small Signal'!$B$62&gt;=1,FCCM=0),W67,T67), 0)</f>
        <v>-1.9703098136010515</v>
      </c>
      <c r="P67" s="195">
        <f>IF(AND('Small Signal'!$B$62&gt;=1,FCCM=0),AF67+0,AC67+0)</f>
        <v>57.701327241385123</v>
      </c>
      <c r="Q67" s="195">
        <f>IF(AND('Small Signal'!$B$62&gt;=1,FCCM=0),AG67,AD67)</f>
        <v>126.09755247291704</v>
      </c>
      <c r="R67" s="195" t="str">
        <f>IMDIV(IMSUM('Small Signal'!$B$2*'Small Signal'!$B$39*'Small Signal'!$B$63,IMPRODUCT(M67,'Small Signal'!$B$2*'Small Signal'!$B$39*'Small Signal'!$B$63*'Small Signal'!$B$14*'Small Signal'!$B$15)),IMSUM(IMPRODUCT('Small Signal'!$B$12*'Small Signal'!$B$14*('Small Signal'!$B$15+'Small Signal'!$B$39),IMPOWER(M67,2)),IMSUM(IMPRODUCT(M67,('Small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2.61209034106691-0.0834396065860413i</v>
      </c>
      <c r="S67" s="195">
        <f t="shared" ref="S67:S130" si="59">AP67</f>
        <v>9.1338556865202829</v>
      </c>
      <c r="T67" s="195">
        <f t="shared" ref="T67:T130" si="60">AQ67</f>
        <v>-1.9703098136010515</v>
      </c>
      <c r="U67" s="195" t="str">
        <f>IMDIV(IMSUM('Small Signal'!$B$75,IMPRODUCT(M67,'Small Signal'!$B$76)),IMSUM(IMPRODUCT('Small Signal'!$B$79,IMPOWER(M67,2)),IMSUM(IMPRODUCT(M67,'Small Signal'!$B$78),'Small Signal'!$B$77)))</f>
        <v>3.06060544164538-0.0750335975486802i</v>
      </c>
      <c r="V67" s="195">
        <f t="shared" si="37"/>
        <v>9.7187563817154441</v>
      </c>
      <c r="W67" s="195">
        <f t="shared" si="38"/>
        <v>-1.4043781710972048</v>
      </c>
      <c r="X67" s="195" t="str">
        <f>IMPRODUCT(IMDIV(IMSUM(IMPRODUCT(M67,'Small Signal'!$B$58*'Small Signal'!$B$6*'Small Signal'!$B$51*'Small Signal'!$B$7*'Small Signal'!$B$8),'Small Signal'!$B$58*'Small Signal'!$B$6*'Small Signal'!$B$51),IMSUM(IMSUM(IMPRODUCT(M67,('Small Signal'!$B$5+'Small Signal'!$B$6)*('Small Signal'!$B$57*'Small Signal'!$B$58)+'Small Signal'!$B$5*'Small Signal'!$B$58*('Small Signal'!$B$8+'Small Signal'!$B$9)+'Small Signal'!$B$6*'Small Signal'!$B$58*('Small Signal'!$B$8+'Small Signal'!$B$9)+'Small Signal'!$B$7*'Small Signal'!$B$8*('Small Signal'!$B$5+'Small Signal'!$B$6)),'Small Signal'!$B$6+'Small Signal'!$B$5),IMPRODUCT(IMPOWER(M67,2),'Small Signal'!$B$57*'Small Signal'!$B$58*'Small Signal'!$B$8*'Small Signal'!$B$7*('Small Signal'!$B$5+'Small Signal'!$B$6)+('Small Signal'!$B$5+'Small Signal'!$B$6)*('Small Signal'!$B$9*'Small Signal'!$B$8*'Small Signal'!$B$58*'Small Signal'!$B$7)))),-1)</f>
        <v>-165.216752877294+211.202240823391i</v>
      </c>
      <c r="Y67" s="195">
        <f t="shared" si="39"/>
        <v>48.567471554864831</v>
      </c>
      <c r="Z67" s="195">
        <f t="shared" si="40"/>
        <v>128.06786228651811</v>
      </c>
      <c r="AA67" s="195" t="str">
        <f t="shared" si="41"/>
        <v>1.00000026598607+0.000574700484792099i</v>
      </c>
      <c r="AB67" s="195" t="str">
        <f t="shared" si="42"/>
        <v>-452.169196356938+620.134385775282i</v>
      </c>
      <c r="AC67" s="192">
        <f t="shared" si="43"/>
        <v>57.701327241385123</v>
      </c>
      <c r="AD67" s="195">
        <f t="shared" si="44"/>
        <v>126.09755247291704</v>
      </c>
      <c r="AE67" s="195" t="str">
        <f t="shared" si="45"/>
        <v>-489.816028967904+658.803534895463i</v>
      </c>
      <c r="AF67" s="192">
        <f t="shared" si="46"/>
        <v>58.286224191865308</v>
      </c>
      <c r="AG67" s="195">
        <f t="shared" si="47"/>
        <v>126.63055621554169</v>
      </c>
      <c r="AI67" s="195" t="str">
        <f t="shared" si="48"/>
        <v>0.002-5.42155002399397i</v>
      </c>
      <c r="AJ67" s="195">
        <f t="shared" si="49"/>
        <v>0.22500000000000001</v>
      </c>
      <c r="AK67" s="195" t="str">
        <f t="shared" si="50"/>
        <v>0.0375-10843.1000479879i</v>
      </c>
      <c r="AL67" s="195" t="str">
        <f t="shared" si="51"/>
        <v>0.224609327450719-0.00932603887086289i</v>
      </c>
      <c r="AM67" s="195" t="str">
        <f t="shared" si="52"/>
        <v>0.898502481939335-0.000111758762890727i</v>
      </c>
      <c r="AN67" s="195" t="str">
        <f t="shared" si="53"/>
        <v>0.006+0.00127044020096797i</v>
      </c>
      <c r="AO67" s="195" t="str">
        <f t="shared" si="54"/>
        <v>2.86046042571767-0.0984054320219094i</v>
      </c>
      <c r="AP67" s="195">
        <f t="shared" ref="AP67:AP130" si="61">20*LOG(IMABS(AO67))</f>
        <v>9.1338556865202829</v>
      </c>
      <c r="AQ67" s="195">
        <f t="shared" ref="AQ67:AQ130" si="62">(180/PI())*IMARGUMENT(AO67)</f>
        <v>-1.9703098136010515</v>
      </c>
      <c r="AS67" s="195" t="str">
        <f t="shared" si="55"/>
        <v>0.921951204494273-0.000117668142011401i</v>
      </c>
      <c r="AT67" s="195" t="str">
        <f t="shared" si="56"/>
        <v>2.87538545566397-0.0993371006803834i</v>
      </c>
      <c r="AU67" s="195">
        <f t="shared" ref="AU67:AU130" si="63">20*LOG(IMABS(AT67))</f>
        <v>9.1791017470391019</v>
      </c>
      <c r="AV67" s="195">
        <f t="shared" ref="AV67:AV130" si="64">(180/PI())*IMARGUMENT(AT67)</f>
        <v>-1.9786334650815496</v>
      </c>
    </row>
    <row r="68" spans="1:48" x14ac:dyDescent="0.2">
      <c r="A68" s="198" t="s">
        <v>32</v>
      </c>
      <c r="B68" s="200">
        <f>B3/B4</f>
        <v>0.22500000000000001</v>
      </c>
      <c r="C68" s="200"/>
      <c r="D68" s="205"/>
      <c r="F68" s="195">
        <v>66</v>
      </c>
      <c r="G68" s="210">
        <f t="shared" si="33"/>
        <v>168.62205543889831</v>
      </c>
      <c r="H68" s="210">
        <f t="shared" si="34"/>
        <v>168.57881372500071</v>
      </c>
      <c r="I68" s="196">
        <f t="shared" si="35"/>
        <v>1</v>
      </c>
      <c r="J68" s="195">
        <f t="shared" si="57"/>
        <v>1</v>
      </c>
      <c r="K68" s="195">
        <f t="shared" si="58"/>
        <v>1</v>
      </c>
      <c r="L68" s="195">
        <f>10^('Small Signal'!F68/30)</f>
        <v>158.48931924611153</v>
      </c>
      <c r="M68" s="195" t="str">
        <f t="shared" si="36"/>
        <v>995.817762032063i</v>
      </c>
      <c r="N68" s="195">
        <f>IF(D$32=1, IF(AND('Small Signal'!$B$62&gt;=1,FCCM=0),V68+0,S68+0), 0)</f>
        <v>9.1330538126653149</v>
      </c>
      <c r="O68" s="195">
        <f>IF(D$32=1, IF(AND('Small Signal'!$B$62&gt;=1,FCCM=0),W68,T68), 0)</f>
        <v>-2.1273647832355631</v>
      </c>
      <c r="P68" s="195">
        <f>IF(AND('Small Signal'!$B$62&gt;=1,FCCM=0),AF68+0,AC68+0)</f>
        <v>57.263303240898125</v>
      </c>
      <c r="Q68" s="195">
        <f>IF(AND('Small Signal'!$B$62&gt;=1,FCCM=0),AG68,AD68)</f>
        <v>123.94216865835733</v>
      </c>
      <c r="R68" s="195" t="str">
        <f>IMDIV(IMSUM('Small Signal'!$B$2*'Small Signal'!$B$39*'Small Signal'!$B$63,IMPRODUCT(M68,'Small Signal'!$B$2*'Small Signal'!$B$39*'Small Signal'!$B$63*'Small Signal'!$B$14*'Small Signal'!$B$15)),IMSUM(IMPRODUCT('Small Signal'!$B$12*'Small Signal'!$B$14*('Small Signal'!$B$15+'Small Signal'!$B$39),IMPOWER(M68,2)),IMSUM(IMPRODUCT(M68,('Small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2.61167079800502-0.0900823187099456i</v>
      </c>
      <c r="S68" s="195">
        <f t="shared" si="59"/>
        <v>9.1330538126653149</v>
      </c>
      <c r="T68" s="195">
        <f t="shared" si="60"/>
        <v>-2.1273647832355631</v>
      </c>
      <c r="U68" s="195" t="str">
        <f>IMDIV(IMSUM('Small Signal'!$B$75,IMPRODUCT(M68,'Small Signal'!$B$76)),IMSUM(IMPRODUCT('Small Signal'!$B$79,IMPOWER(M68,2)),IMSUM(IMPRODUCT(M68,'Small Signal'!$B$78),'Small Signal'!$B$77)))</f>
        <v>3.06036578890153-0.0810148290799411i</v>
      </c>
      <c r="V68" s="195">
        <f t="shared" si="37"/>
        <v>9.7185091565227033</v>
      </c>
      <c r="W68" s="195">
        <f t="shared" si="38"/>
        <v>-1.5163951837903247</v>
      </c>
      <c r="X68" s="195" t="str">
        <f>IMPRODUCT(IMDIV(IMSUM(IMPRODUCT(M68,'Small Signal'!$B$58*'Small Signal'!$B$6*'Small Signal'!$B$51*'Small Signal'!$B$7*'Small Signal'!$B$8),'Small Signal'!$B$58*'Small Signal'!$B$6*'Small Signal'!$B$51),IMSUM(IMSUM(IMPRODUCT(M68,('Small Signal'!$B$5+'Small Signal'!$B$6)*('Small Signal'!$B$57*'Small Signal'!$B$58)+'Small Signal'!$B$5*'Small Signal'!$B$58*('Small Signal'!$B$8+'Small Signal'!$B$9)+'Small Signal'!$B$6*'Small Signal'!$B$58*('Small Signal'!$B$8+'Small Signal'!$B$9)+'Small Signal'!$B$7*'Small Signal'!$B$8*('Small Signal'!$B$5+'Small Signal'!$B$6)),'Small Signal'!$B$6+'Small Signal'!$B$5),IMPRODUCT(IMPOWER(M68,2),'Small Signal'!$B$57*'Small Signal'!$B$58*'Small Signal'!$B$8*'Small Signal'!$B$7*('Small Signal'!$B$5+'Small Signal'!$B$6)+('Small Signal'!$B$5+'Small Signal'!$B$6)*('Small Signal'!$B$9*'Small Signal'!$B$8*'Small Signal'!$B$58*'Small Signal'!$B$7)))),-1)</f>
        <v>-149.997910894816+206.197149337121i</v>
      </c>
      <c r="Y68" s="195">
        <f t="shared" si="39"/>
        <v>48.130249428232815</v>
      </c>
      <c r="Z68" s="195">
        <f t="shared" si="40"/>
        <v>126.0695334415929</v>
      </c>
      <c r="AA68" s="195" t="str">
        <f t="shared" si="41"/>
        <v>1.00000031011698+0.000620547287201894i</v>
      </c>
      <c r="AB68" s="195" t="str">
        <f t="shared" si="42"/>
        <v>-407.451779295307+605.389281333176i</v>
      </c>
      <c r="AC68" s="192">
        <f t="shared" si="43"/>
        <v>57.263303240898125</v>
      </c>
      <c r="AD68" s="195">
        <f t="shared" si="44"/>
        <v>123.94216865835733</v>
      </c>
      <c r="AE68" s="195" t="str">
        <f t="shared" si="45"/>
        <v>-442.343448098877+643.190756713837i</v>
      </c>
      <c r="AF68" s="192">
        <f t="shared" si="46"/>
        <v>57.848754218738861</v>
      </c>
      <c r="AG68" s="195">
        <f t="shared" si="47"/>
        <v>124.51758353284754</v>
      </c>
      <c r="AI68" s="195" t="str">
        <f t="shared" si="48"/>
        <v>0.002-5.02099901270791i</v>
      </c>
      <c r="AJ68" s="195">
        <f t="shared" si="49"/>
        <v>0.22500000000000001</v>
      </c>
      <c r="AK68" s="195" t="str">
        <f t="shared" si="50"/>
        <v>0.0375-10041.9980254158i</v>
      </c>
      <c r="AL68" s="195" t="str">
        <f t="shared" si="51"/>
        <v>0.224544641593602-0.0100670992431841i</v>
      </c>
      <c r="AM68" s="195" t="str">
        <f t="shared" si="52"/>
        <v>0.898502479632971-0.00012067433603212i</v>
      </c>
      <c r="AN68" s="195" t="str">
        <f t="shared" si="53"/>
        <v>0.006+0.00137178977422784i</v>
      </c>
      <c r="AO68" s="195" t="str">
        <f t="shared" si="54"/>
        <v>2.85991590075393-0.106236127803908i</v>
      </c>
      <c r="AP68" s="195">
        <f t="shared" si="61"/>
        <v>9.1330538126653149</v>
      </c>
      <c r="AQ68" s="195">
        <f t="shared" si="62"/>
        <v>-2.1273647832355631</v>
      </c>
      <c r="AS68" s="195" t="str">
        <f t="shared" si="55"/>
        <v>0.921951202002584-0.000127055136797779i</v>
      </c>
      <c r="AT68" s="195" t="str">
        <f t="shared" si="56"/>
        <v>2.87483283716028-0.107241720641456i</v>
      </c>
      <c r="AU68" s="195">
        <f t="shared" si="63"/>
        <v>9.1782912100218894</v>
      </c>
      <c r="AV68" s="195">
        <f t="shared" si="64"/>
        <v>-2.1363503748171593</v>
      </c>
    </row>
    <row r="69" spans="1:48" x14ac:dyDescent="0.2">
      <c r="A69" s="198" t="s">
        <v>58</v>
      </c>
      <c r="B69" s="200">
        <f>(B3*B4*B12*2*B11/(B2*(B2-B3)))^0.5</f>
        <v>0.47633051162246681</v>
      </c>
      <c r="C69" s="200"/>
      <c r="D69" s="205"/>
      <c r="F69" s="195">
        <v>67</v>
      </c>
      <c r="G69" s="210">
        <f t="shared" si="33"/>
        <v>168.62550504581907</v>
      </c>
      <c r="H69" s="210">
        <f t="shared" si="34"/>
        <v>168.57881372500071</v>
      </c>
      <c r="I69" s="196">
        <f t="shared" si="35"/>
        <v>1</v>
      </c>
      <c r="J69" s="195">
        <f t="shared" si="57"/>
        <v>1</v>
      </c>
      <c r="K69" s="195">
        <f t="shared" si="58"/>
        <v>1</v>
      </c>
      <c r="L69" s="195">
        <f>10^('Small Signal'!F69/30)</f>
        <v>171.13283041617817</v>
      </c>
      <c r="M69" s="195" t="str">
        <f t="shared" si="36"/>
        <v>1075.25928564699i</v>
      </c>
      <c r="N69" s="195">
        <f>IF(D$32=1, IF(AND('Small Signal'!$B$62&gt;=1,FCCM=0),V69+0,S69+0), 0)</f>
        <v>9.132119082787364</v>
      </c>
      <c r="O69" s="195">
        <f>IF(D$32=1, IF(AND('Small Signal'!$B$62&gt;=1,FCCM=0),W69,T69), 0)</f>
        <v>-2.2969160410384215</v>
      </c>
      <c r="P69" s="195">
        <f>IF(AND('Small Signal'!$B$62&gt;=1,FCCM=0),AF69+0,AC69+0)</f>
        <v>56.80269975012169</v>
      </c>
      <c r="Q69" s="195">
        <f>IF(AND('Small Signal'!$B$62&gt;=1,FCCM=0),AG69,AD69)</f>
        <v>121.83623424307527</v>
      </c>
      <c r="R69" s="195" t="str">
        <f>IMDIV(IMSUM('Small Signal'!$B$2*'Small Signal'!$B$39*'Small Signal'!$B$63,IMPRODUCT(M69,'Small Signal'!$B$2*'Small Signal'!$B$39*'Small Signal'!$B$63*'Small Signal'!$B$14*'Small Signal'!$B$15)),IMSUM(IMPRODUCT('Small Signal'!$B$12*'Small Signal'!$B$14*('Small Signal'!$B$15+'Small Signal'!$B$39),IMPOWER(M69,2)),IMSUM(IMPRODUCT(M69,('Small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2.61118180714123-0.0972514136738193i</v>
      </c>
      <c r="S69" s="195">
        <f t="shared" si="59"/>
        <v>9.132119082787364</v>
      </c>
      <c r="T69" s="195">
        <f t="shared" si="60"/>
        <v>-2.2969160410384215</v>
      </c>
      <c r="U69" s="195" t="str">
        <f>IMDIV(IMSUM('Small Signal'!$B$75,IMPRODUCT(M69,'Small Signal'!$B$76)),IMSUM(IMPRODUCT('Small Signal'!$B$79,IMPOWER(M69,2)),IMSUM(IMPRODUCT(M69,'Small Signal'!$B$78),'Small Signal'!$B$77)))</f>
        <v>3.06008640473495-0.087472027519727i</v>
      </c>
      <c r="V69" s="195">
        <f t="shared" si="37"/>
        <v>9.7182209251557516</v>
      </c>
      <c r="W69" s="195">
        <f t="shared" si="38"/>
        <v>-1.6373438460245604</v>
      </c>
      <c r="X69" s="195" t="str">
        <f>IMPRODUCT(IMDIV(IMSUM(IMPRODUCT(M69,'Small Signal'!$B$58*'Small Signal'!$B$6*'Small Signal'!$B$51*'Small Signal'!$B$7*'Small Signal'!$B$8),'Small Signal'!$B$58*'Small Signal'!$B$6*'Small Signal'!$B$51),IMSUM(IMSUM(IMPRODUCT(M69,('Small Signal'!$B$5+'Small Signal'!$B$6)*('Small Signal'!$B$57*'Small Signal'!$B$58)+'Small Signal'!$B$5*'Small Signal'!$B$58*('Small Signal'!$B$8+'Small Signal'!$B$9)+'Small Signal'!$B$6*'Small Signal'!$B$58*('Small Signal'!$B$8+'Small Signal'!$B$9)+'Small Signal'!$B$7*'Small Signal'!$B$8*('Small Signal'!$B$5+'Small Signal'!$B$6)),'Small Signal'!$B$6+'Small Signal'!$B$5),IMPRODUCT(IMPOWER(M69,2),'Small Signal'!$B$57*'Small Signal'!$B$58*'Small Signal'!$B$8*'Small Signal'!$B$7*('Small Signal'!$B$5+'Small Signal'!$B$6)+('Small Signal'!$B$5+'Small Signal'!$B$6)*('Small Signal'!$B$9*'Small Signal'!$B$8*'Small Signal'!$B$58*'Small Signal'!$B$7)))),-1)</f>
        <v>-135.566817592739+200.270809669682i</v>
      </c>
      <c r="Y69" s="195">
        <f t="shared" si="39"/>
        <v>47.670580667334313</v>
      </c>
      <c r="Z69" s="195">
        <f t="shared" si="40"/>
        <v>124.13315028411367</v>
      </c>
      <c r="AA69" s="195" t="str">
        <f t="shared" si="41"/>
        <v>1.00000036156984+0.00067005152000571i</v>
      </c>
      <c r="AB69" s="195" t="str">
        <f t="shared" si="42"/>
        <v>-365.049557750961+587.934129837903i</v>
      </c>
      <c r="AC69" s="192">
        <f t="shared" si="43"/>
        <v>56.80269975012169</v>
      </c>
      <c r="AD69" s="195">
        <f t="shared" si="44"/>
        <v>121.83623424307527</v>
      </c>
      <c r="AE69" s="195" t="str">
        <f t="shared" si="45"/>
        <v>-397.328081673899+624.704286334689i</v>
      </c>
      <c r="AF69" s="192">
        <f t="shared" si="46"/>
        <v>57.388796502089001</v>
      </c>
      <c r="AG69" s="195">
        <f t="shared" si="47"/>
        <v>122.45741533356299</v>
      </c>
      <c r="AI69" s="195" t="str">
        <f t="shared" si="48"/>
        <v>0.002-4.65004121958498i</v>
      </c>
      <c r="AJ69" s="195">
        <f t="shared" si="49"/>
        <v>0.22500000000000001</v>
      </c>
      <c r="AK69" s="195" t="str">
        <f t="shared" si="50"/>
        <v>0.0375-9300.08243916995i</v>
      </c>
      <c r="AL69" s="195" t="str">
        <f t="shared" si="51"/>
        <v>0.224469270867063-0.0108665225563774i</v>
      </c>
      <c r="AM69" s="195" t="str">
        <f t="shared" si="52"/>
        <v>0.898502476943946-0.000130301150387908i</v>
      </c>
      <c r="AN69" s="195" t="str">
        <f t="shared" si="53"/>
        <v>0.006+0.00148122452614636i</v>
      </c>
      <c r="AO69" s="195" t="str">
        <f t="shared" si="54"/>
        <v>2.85928128473751-0.114686450029533i</v>
      </c>
      <c r="AP69" s="195">
        <f t="shared" si="61"/>
        <v>9.132119082787364</v>
      </c>
      <c r="AQ69" s="195">
        <f t="shared" si="62"/>
        <v>-2.2969160410384215</v>
      </c>
      <c r="AS69" s="195" t="str">
        <f t="shared" si="55"/>
        <v>0.921951199097487-0.000137190980528098i</v>
      </c>
      <c r="AT69" s="195" t="str">
        <f t="shared" si="56"/>
        <v>2.87418879134089-0.11577176114163i</v>
      </c>
      <c r="AU69" s="195">
        <f t="shared" si="63"/>
        <v>9.1773463837270128</v>
      </c>
      <c r="AV69" s="195">
        <f t="shared" si="64"/>
        <v>-2.3066158414454079</v>
      </c>
    </row>
    <row r="70" spans="1:48" x14ac:dyDescent="0.2">
      <c r="A70" s="198" t="s">
        <v>57</v>
      </c>
      <c r="B70" s="202">
        <f>(2*B4/B69)*B68*B68*(1-(B3/B2))/(B68*(1-(B3/B2))+B68+B13)</f>
        <v>3.4231496448037313</v>
      </c>
      <c r="C70" s="200"/>
      <c r="D70" s="205"/>
      <c r="F70" s="195">
        <v>68</v>
      </c>
      <c r="G70" s="210">
        <f t="shared" si="33"/>
        <v>168.62922984366583</v>
      </c>
      <c r="H70" s="210">
        <f t="shared" si="34"/>
        <v>168.57881372500071</v>
      </c>
      <c r="I70" s="196">
        <f t="shared" si="35"/>
        <v>1</v>
      </c>
      <c r="J70" s="195">
        <f t="shared" si="57"/>
        <v>1</v>
      </c>
      <c r="K70" s="195">
        <f t="shared" si="58"/>
        <v>1</v>
      </c>
      <c r="L70" s="195">
        <f>10^('Small Signal'!F70/30)</f>
        <v>184.7849797422291</v>
      </c>
      <c r="M70" s="195" t="str">
        <f t="shared" si="36"/>
        <v>1161.03826970385i</v>
      </c>
      <c r="N70" s="195">
        <f>IF(D$32=1, IF(AND('Small Signal'!$B$62&gt;=1,FCCM=0),V70+0,S70+0), 0)</f>
        <v>9.1310295210323815</v>
      </c>
      <c r="O70" s="195">
        <f>IF(D$32=1, IF(AND('Small Signal'!$B$62&gt;=1,FCCM=0),W70,T70), 0)</f>
        <v>-2.4799520061794862</v>
      </c>
      <c r="P70" s="195">
        <f>IF(AND('Small Signal'!$B$62&gt;=1,FCCM=0),AF70+0,AC70+0)</f>
        <v>56.320773714424647</v>
      </c>
      <c r="Q70" s="195">
        <f>IF(AND('Small Signal'!$B$62&gt;=1,FCCM=0),AG70,AD70)</f>
        <v>119.78783578051251</v>
      </c>
      <c r="R70" s="195" t="str">
        <f>IMDIV(IMSUM('Small Signal'!$B$2*'Small Signal'!$B$39*'Small Signal'!$B$63,IMPRODUCT(M70,'Small Signal'!$B$2*'Small Signal'!$B$39*'Small Signal'!$B$63*'Small Signal'!$B$14*'Small Signal'!$B$15)),IMSUM(IMPRODUCT('Small Signal'!$B$12*'Small Signal'!$B$14*('Small Signal'!$B$15+'Small Signal'!$B$39),IMPOWER(M70,2)),IMSUM(IMPRODUCT(M70,('Small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2.61061190362169-0.104987969643767i</v>
      </c>
      <c r="S70" s="195">
        <f t="shared" si="59"/>
        <v>9.1310295210323815</v>
      </c>
      <c r="T70" s="195">
        <f t="shared" si="60"/>
        <v>-2.4799520061794862</v>
      </c>
      <c r="U70" s="195" t="str">
        <f>IMDIV(IMSUM('Small Signal'!$B$75,IMPRODUCT(M70,'Small Signal'!$B$76)),IMSUM(IMPRODUCT('Small Signal'!$B$79,IMPOWER(M70,2)),IMSUM(IMPRODUCT(M70,'Small Signal'!$B$78),'Small Signal'!$B$77)))</f>
        <v>3.0597607080548-0.094442856189625i</v>
      </c>
      <c r="V70" s="195">
        <f t="shared" si="37"/>
        <v>9.7178848884266777</v>
      </c>
      <c r="W70" s="195">
        <f t="shared" si="38"/>
        <v>-1.7679355102959202</v>
      </c>
      <c r="X70" s="195" t="str">
        <f>IMPRODUCT(IMDIV(IMSUM(IMPRODUCT(M70,'Small Signal'!$B$58*'Small Signal'!$B$6*'Small Signal'!$B$51*'Small Signal'!$B$7*'Small Signal'!$B$8),'Small Signal'!$B$58*'Small Signal'!$B$6*'Small Signal'!$B$51),IMSUM(IMSUM(IMPRODUCT(M70,('Small Signal'!$B$5+'Small Signal'!$B$6)*('Small Signal'!$B$57*'Small Signal'!$B$58)+'Small Signal'!$B$5*'Small Signal'!$B$58*('Small Signal'!$B$8+'Small Signal'!$B$9)+'Small Signal'!$B$6*'Small Signal'!$B$58*('Small Signal'!$B$8+'Small Signal'!$B$9)+'Small Signal'!$B$7*'Small Signal'!$B$8*('Small Signal'!$B$5+'Small Signal'!$B$6)),'Small Signal'!$B$6+'Small Signal'!$B$5),IMPRODUCT(IMPOWER(M70,2),'Small Signal'!$B$57*'Small Signal'!$B$58*'Small Signal'!$B$8*'Small Signal'!$B$7*('Small Signal'!$B$5+'Small Signal'!$B$6)+('Small Signal'!$B$5+'Small Signal'!$B$6)*('Small Signal'!$B$9*'Small Signal'!$B$8*'Small Signal'!$B$58*'Small Signal'!$B$7)))),-1)</f>
        <v>-122.019744147476+193.566707222391i</v>
      </c>
      <c r="Y70" s="195">
        <f t="shared" si="39"/>
        <v>47.189744193392265</v>
      </c>
      <c r="Z70" s="195">
        <f t="shared" si="40"/>
        <v>122.26778778669198</v>
      </c>
      <c r="AA70" s="195" t="str">
        <f t="shared" si="41"/>
        <v>1.00000042155946+0.000723504953828369i</v>
      </c>
      <c r="AB70" s="195" t="str">
        <f t="shared" si="42"/>
        <v>-325.245491155372+568.190325028797i</v>
      </c>
      <c r="AC70" s="192">
        <f t="shared" si="43"/>
        <v>56.320773714424647</v>
      </c>
      <c r="AD70" s="195">
        <f t="shared" si="44"/>
        <v>119.78783578051251</v>
      </c>
      <c r="AE70" s="195" t="str">
        <f t="shared" si="45"/>
        <v>-355.070226056043+603.791698295434i</v>
      </c>
      <c r="AF70" s="192">
        <f t="shared" si="46"/>
        <v>56.907623146847904</v>
      </c>
      <c r="AG70" s="195">
        <f t="shared" si="47"/>
        <v>120.45839852079322</v>
      </c>
      <c r="AI70" s="195" t="str">
        <f t="shared" si="48"/>
        <v>0.002-4.30649026002852i</v>
      </c>
      <c r="AJ70" s="195">
        <f t="shared" si="49"/>
        <v>0.22500000000000001</v>
      </c>
      <c r="AK70" s="195" t="str">
        <f t="shared" si="50"/>
        <v>0.0375-8612.98052005705i</v>
      </c>
      <c r="AL70" s="195" t="str">
        <f t="shared" si="51"/>
        <v>0.224381459481338-0.0117287702453126i</v>
      </c>
      <c r="AM70" s="195" t="str">
        <f t="shared" si="52"/>
        <v>0.898502473808776-0.000140695945320656i</v>
      </c>
      <c r="AN70" s="195" t="str">
        <f t="shared" si="53"/>
        <v>0.006+0.00159938945316347i</v>
      </c>
      <c r="AO70" s="195" t="str">
        <f t="shared" si="54"/>
        <v>2.8585417211314-0.123804521716088i</v>
      </c>
      <c r="AP70" s="195">
        <f t="shared" si="61"/>
        <v>9.1310295210323815</v>
      </c>
      <c r="AQ70" s="195">
        <f t="shared" si="62"/>
        <v>-2.4799520061794862</v>
      </c>
      <c r="AS70" s="195" t="str">
        <f t="shared" si="55"/>
        <v>0.921951195710392-0.000148135412725399i</v>
      </c>
      <c r="AT70" s="195" t="str">
        <f t="shared" si="56"/>
        <v>2.87343824231672-0.124975780842302i</v>
      </c>
      <c r="AU70" s="195">
        <f t="shared" si="63"/>
        <v>9.1762450559681827</v>
      </c>
      <c r="AV70" s="195">
        <f t="shared" si="64"/>
        <v>-2.4904223151606875</v>
      </c>
    </row>
    <row r="71" spans="1:48" x14ac:dyDescent="0.2">
      <c r="A71" s="198" t="s">
        <v>59</v>
      </c>
      <c r="B71" s="201">
        <f>B12/(B68*(1-(B3/B2))+B68+B13)+B14*(B15+1/((1/(B13+B68*(1-(B3/B2))))+1/B68))</f>
        <v>2.4683720593032951E-5</v>
      </c>
      <c r="C71" s="200"/>
      <c r="D71" s="205"/>
      <c r="F71" s="195">
        <v>69</v>
      </c>
      <c r="G71" s="210">
        <f t="shared" si="33"/>
        <v>168.63325178531488</v>
      </c>
      <c r="H71" s="210">
        <f t="shared" si="34"/>
        <v>168.57881372500071</v>
      </c>
      <c r="I71" s="196">
        <f t="shared" si="35"/>
        <v>1</v>
      </c>
      <c r="J71" s="195">
        <f t="shared" si="57"/>
        <v>1</v>
      </c>
      <c r="K71" s="195">
        <f t="shared" si="58"/>
        <v>1</v>
      </c>
      <c r="L71" s="195">
        <f>10^('Small Signal'!F71/30)</f>
        <v>199.52623149688802</v>
      </c>
      <c r="M71" s="195" t="str">
        <f t="shared" si="36"/>
        <v>1253.66028613816i</v>
      </c>
      <c r="N71" s="195">
        <f>IF(D$32=1, IF(AND('Small Signal'!$B$62&gt;=1,FCCM=0),V71+0,S71+0), 0)</f>
        <v>9.1297595294027793</v>
      </c>
      <c r="O71" s="195">
        <f>IF(D$32=1, IF(AND('Small Signal'!$B$62&gt;=1,FCCM=0),W71,T71), 0)</f>
        <v>-2.6775377632697568</v>
      </c>
      <c r="P71" s="195">
        <f>IF(AND('Small Signal'!$B$62&gt;=1,FCCM=0),AF71+0,AC71+0)</f>
        <v>55.818902294525536</v>
      </c>
      <c r="Q71" s="195">
        <f>IF(AND('Small Signal'!$B$62&gt;=1,FCCM=0),AG71,AD71)</f>
        <v>117.80355398726084</v>
      </c>
      <c r="R71" s="195" t="str">
        <f>IMDIV(IMSUM('Small Signal'!$B$2*'Small Signal'!$B$39*'Small Signal'!$B$63,IMPRODUCT(M71,'Small Signal'!$B$2*'Small Signal'!$B$39*'Small Signal'!$B$63*'Small Signal'!$B$14*'Small Signal'!$B$15)),IMSUM(IMPRODUCT('Small Signal'!$B$12*'Small Signal'!$B$14*('Small Signal'!$B$15+'Small Signal'!$B$39),IMPOWER(M71,2)),IMSUM(IMPRODUCT(M71,('Small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2.60994774101641-0.113336106348886i</v>
      </c>
      <c r="S71" s="195">
        <f t="shared" si="59"/>
        <v>9.1297595294027793</v>
      </c>
      <c r="T71" s="195">
        <f t="shared" si="60"/>
        <v>-2.6775377632697568</v>
      </c>
      <c r="U71" s="195" t="str">
        <f>IMDIV(IMSUM('Small Signal'!$B$75,IMPRODUCT(M71,'Small Signal'!$B$76)),IMSUM(IMPRODUCT('Small Signal'!$B$79,IMPOWER(M71,2)),IMSUM(IMPRODUCT(M71,'Small Signal'!$B$78),'Small Signal'!$B$77)))</f>
        <v>3.05938102979427-0.101967903644987i</v>
      </c>
      <c r="V71" s="195">
        <f t="shared" si="37"/>
        <v>9.7174931206183182</v>
      </c>
      <c r="W71" s="195">
        <f t="shared" si="38"/>
        <v>-1.9089379743430717</v>
      </c>
      <c r="X71" s="195" t="str">
        <f>IMPRODUCT(IMDIV(IMSUM(IMPRODUCT(M71,'Small Signal'!$B$58*'Small Signal'!$B$6*'Small Signal'!$B$51*'Small Signal'!$B$7*'Small Signal'!$B$8),'Small Signal'!$B$58*'Small Signal'!$B$6*'Small Signal'!$B$51),IMSUM(IMSUM(IMPRODUCT(M71,('Small Signal'!$B$5+'Small Signal'!$B$6)*('Small Signal'!$B$57*'Small Signal'!$B$58)+'Small Signal'!$B$5*'Small Signal'!$B$58*('Small Signal'!$B$8+'Small Signal'!$B$9)+'Small Signal'!$B$6*'Small Signal'!$B$58*('Small Signal'!$B$8+'Small Signal'!$B$9)+'Small Signal'!$B$7*'Small Signal'!$B$8*('Small Signal'!$B$5+'Small Signal'!$B$6)),'Small Signal'!$B$6+'Small Signal'!$B$5),IMPRODUCT(IMPOWER(M71,2),'Small Signal'!$B$57*'Small Signal'!$B$58*'Small Signal'!$B$8*'Small Signal'!$B$7*('Small Signal'!$B$5+'Small Signal'!$B$6)+('Small Signal'!$B$5+'Small Signal'!$B$6)*('Small Signal'!$B$9*'Small Signal'!$B$8*'Small Signal'!$B$58*'Small Signal'!$B$7)))),-1)</f>
        <v>-109.42217123561+186.234910418305i</v>
      </c>
      <c r="Y71" s="195">
        <f t="shared" si="39"/>
        <v>46.689142765122753</v>
      </c>
      <c r="Z71" s="195">
        <f t="shared" si="40"/>
        <v>120.48109175053068</v>
      </c>
      <c r="AA71" s="195" t="str">
        <f t="shared" si="41"/>
        <v>1.00000049150222+0.000781222634960803i</v>
      </c>
      <c r="AB71" s="195" t="str">
        <f t="shared" si="42"/>
        <v>-288.232073719676+546.598587633116i</v>
      </c>
      <c r="AC71" s="192">
        <f t="shared" si="43"/>
        <v>55.818902294525536</v>
      </c>
      <c r="AD71" s="195">
        <f t="shared" si="44"/>
        <v>117.80355398726084</v>
      </c>
      <c r="AE71" s="195" t="str">
        <f t="shared" si="45"/>
        <v>-315.774131516259+580.921101432376i</v>
      </c>
      <c r="AF71" s="192">
        <f t="shared" si="46"/>
        <v>56.406628966074031</v>
      </c>
      <c r="AG71" s="195">
        <f t="shared" si="47"/>
        <v>118.52739304745016</v>
      </c>
      <c r="AI71" s="195" t="str">
        <f t="shared" si="48"/>
        <v>0.002-3.98832128231665i</v>
      </c>
      <c r="AJ71" s="195">
        <f t="shared" si="49"/>
        <v>0.22500000000000001</v>
      </c>
      <c r="AK71" s="195" t="str">
        <f t="shared" si="50"/>
        <v>0.0375-7976.64256463329i</v>
      </c>
      <c r="AL71" s="195" t="str">
        <f t="shared" si="51"/>
        <v>0.224279166400691-0.0126586098042099i</v>
      </c>
      <c r="AM71" s="195" t="str">
        <f t="shared" si="52"/>
        <v>0.898502470153433-0.000151919986579412i</v>
      </c>
      <c r="AN71" s="195" t="str">
        <f t="shared" si="53"/>
        <v>0.006+0.00172698100641481i</v>
      </c>
      <c r="AO71" s="195" t="str">
        <f t="shared" si="54"/>
        <v>2.85767992100778-0.133641968430447i</v>
      </c>
      <c r="AP71" s="195">
        <f t="shared" si="61"/>
        <v>9.1297595294027793</v>
      </c>
      <c r="AQ71" s="195">
        <f t="shared" si="62"/>
        <v>-2.6775377632697568</v>
      </c>
      <c r="AS71" s="195" t="str">
        <f t="shared" si="55"/>
        <v>0.92195119176133-0.000159952938636913i</v>
      </c>
      <c r="AT71" s="195" t="str">
        <f t="shared" si="56"/>
        <v>2.8725636462552-0.134905868893085i</v>
      </c>
      <c r="AU71" s="195">
        <f t="shared" si="63"/>
        <v>9.1749613537296675</v>
      </c>
      <c r="AV71" s="195">
        <f t="shared" si="64"/>
        <v>-2.6888391974845804</v>
      </c>
    </row>
    <row r="72" spans="1:48" x14ac:dyDescent="0.2">
      <c r="A72" s="198" t="s">
        <v>60</v>
      </c>
      <c r="B72" s="201">
        <f>(B12*B14*(B39+B15))/(B68*(1-(B3/B2))+B68+B13)</f>
        <v>1.481132417442998E-10</v>
      </c>
      <c r="C72" s="200"/>
      <c r="D72" s="205"/>
      <c r="F72" s="195">
        <v>70</v>
      </c>
      <c r="G72" s="210">
        <f t="shared" si="33"/>
        <v>168.6375945748008</v>
      </c>
      <c r="H72" s="210">
        <f t="shared" si="34"/>
        <v>168.57881372500071</v>
      </c>
      <c r="I72" s="196">
        <f t="shared" si="35"/>
        <v>1</v>
      </c>
      <c r="J72" s="195">
        <f t="shared" si="57"/>
        <v>1</v>
      </c>
      <c r="K72" s="195">
        <f t="shared" si="58"/>
        <v>1</v>
      </c>
      <c r="L72" s="195">
        <f>10^('Small Signal'!F72/30)</f>
        <v>215.44346900318848</v>
      </c>
      <c r="M72" s="195" t="str">
        <f t="shared" si="36"/>
        <v>1353.67123896863i</v>
      </c>
      <c r="N72" s="195">
        <f>IF(D$32=1, IF(AND('Small Signal'!$B$62&gt;=1,FCCM=0),V72+0,S72+0), 0)</f>
        <v>9.1282792953673901</v>
      </c>
      <c r="O72" s="195">
        <f>IF(D$32=1, IF(AND('Small Signal'!$B$62&gt;=1,FCCM=0),W72,T72), 0)</f>
        <v>-2.8908206162730448</v>
      </c>
      <c r="P72" s="195">
        <f>IF(AND('Small Signal'!$B$62&gt;=1,FCCM=0),AF72+0,AC72+0)</f>
        <v>55.29853656462717</v>
      </c>
      <c r="Q72" s="195">
        <f>IF(AND('Small Signal'!$B$62&gt;=1,FCCM=0),AG72,AD72)</f>
        <v>115.88843127421534</v>
      </c>
      <c r="R72" s="195" t="str">
        <f>IMDIV(IMSUM('Small Signal'!$B$2*'Small Signal'!$B$39*'Small Signal'!$B$63,IMPRODUCT(M72,'Small Signal'!$B$2*'Small Signal'!$B$39*'Small Signal'!$B$63*'Small Signal'!$B$14*'Small Signal'!$B$15)),IMSUM(IMPRODUCT('Small Signal'!$B$12*'Small Signal'!$B$14*('Small Signal'!$B$15+'Small Signal'!$B$39),IMPOWER(M72,2)),IMSUM(IMPRODUCT(M72,('Small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2.6091737865048-0.122343167331435i</v>
      </c>
      <c r="S72" s="195">
        <f t="shared" si="59"/>
        <v>9.1282792953673901</v>
      </c>
      <c r="T72" s="195">
        <f t="shared" si="60"/>
        <v>-2.8908206162730448</v>
      </c>
      <c r="U72" s="195" t="str">
        <f>IMDIV(IMSUM('Small Signal'!$B$75,IMPRODUCT(M72,'Small Signal'!$B$76)),IMSUM(IMPRODUCT('Small Signal'!$B$79,IMPOWER(M72,2)),IMSUM(IMPRODUCT(M72,'Small Signal'!$B$78),'Small Signal'!$B$77)))</f>
        <v>3.05893843380675-0.110090896547533i</v>
      </c>
      <c r="V72" s="195">
        <f t="shared" si="37"/>
        <v>9.7170363831348165</v>
      </c>
      <c r="W72" s="195">
        <f t="shared" si="38"/>
        <v>-2.0611799057382516</v>
      </c>
      <c r="X72" s="195" t="str">
        <f>IMPRODUCT(IMDIV(IMSUM(IMPRODUCT(M72,'Small Signal'!$B$58*'Small Signal'!$B$6*'Small Signal'!$B$51*'Small Signal'!$B$7*'Small Signal'!$B$8),'Small Signal'!$B$58*'Small Signal'!$B$6*'Small Signal'!$B$51),IMSUM(IMSUM(IMPRODUCT(M72,('Small Signal'!$B$5+'Small Signal'!$B$6)*('Small Signal'!$B$57*'Small Signal'!$B$58)+'Small Signal'!$B$5*'Small Signal'!$B$58*('Small Signal'!$B$8+'Small Signal'!$B$9)+'Small Signal'!$B$6*'Small Signal'!$B$58*('Small Signal'!$B$8+'Small Signal'!$B$9)+'Small Signal'!$B$7*'Small Signal'!$B$8*('Small Signal'!$B$5+'Small Signal'!$B$6)),'Small Signal'!$B$6+'Small Signal'!$B$5),IMPRODUCT(IMPOWER(M72,2),'Small Signal'!$B$57*'Small Signal'!$B$58*'Small Signal'!$B$8*'Small Signal'!$B$7*('Small Signal'!$B$5+'Small Signal'!$B$6)+('Small Signal'!$B$5+'Small Signal'!$B$6)*('Small Signal'!$B$9*'Small Signal'!$B$8*'Small Signal'!$B$58*'Small Signal'!$B$7)))),-1)</f>
        <v>-97.8100953599624+178.425133761633i</v>
      </c>
      <c r="Y72" s="195">
        <f t="shared" si="39"/>
        <v>46.170257269259771</v>
      </c>
      <c r="Z72" s="195">
        <f t="shared" si="40"/>
        <v>118.77925189048842</v>
      </c>
      <c r="AA72" s="195" t="str">
        <f t="shared" si="41"/>
        <v>1.00000057304948+0.000843544742080973i</v>
      </c>
      <c r="AB72" s="195" t="str">
        <f t="shared" si="42"/>
        <v>-254.115174877123+523.598580481745i</v>
      </c>
      <c r="AC72" s="192">
        <f t="shared" si="43"/>
        <v>55.29853656462717</v>
      </c>
      <c r="AD72" s="195">
        <f t="shared" si="44"/>
        <v>115.88843127421534</v>
      </c>
      <c r="AE72" s="195" t="str">
        <f t="shared" si="45"/>
        <v>-279.552076968461+556.559500310147i</v>
      </c>
      <c r="AF72" s="192">
        <f t="shared" si="46"/>
        <v>55.887285584656723</v>
      </c>
      <c r="AG72" s="195">
        <f t="shared" si="47"/>
        <v>116.6697404703586</v>
      </c>
      <c r="AI72" s="195" t="str">
        <f t="shared" si="48"/>
        <v>0.002-3.6936590333481i</v>
      </c>
      <c r="AJ72" s="195">
        <f t="shared" si="49"/>
        <v>0.22500000000000001</v>
      </c>
      <c r="AK72" s="195" t="str">
        <f t="shared" si="50"/>
        <v>0.0375-7387.31806669621i</v>
      </c>
      <c r="AL72" s="195" t="str">
        <f t="shared" si="51"/>
        <v>0.22416002017407-0.0136611265280981i</v>
      </c>
      <c r="AM72" s="195" t="str">
        <f t="shared" si="52"/>
        <v>0.898502465891618-0.000164039427391528i</v>
      </c>
      <c r="AN72" s="195" t="str">
        <f t="shared" si="53"/>
        <v>0.006+0.00186475119653842i</v>
      </c>
      <c r="AO72" s="195" t="str">
        <f t="shared" si="54"/>
        <v>2.85667577109059-0.144254111583669i</v>
      </c>
      <c r="AP72" s="195">
        <f t="shared" si="61"/>
        <v>9.1282792953673901</v>
      </c>
      <c r="AQ72" s="195">
        <f t="shared" si="62"/>
        <v>-2.8908206162730448</v>
      </c>
      <c r="AS72" s="195" t="str">
        <f t="shared" si="55"/>
        <v>0.921951187157063-0.000172713209418928i</v>
      </c>
      <c r="AT72" s="195" t="str">
        <f t="shared" si="56"/>
        <v>2.87154459382323-0.14561783872205i</v>
      </c>
      <c r="AU72" s="195">
        <f t="shared" si="63"/>
        <v>9.173465144544263</v>
      </c>
      <c r="AV72" s="195">
        <f t="shared" si="64"/>
        <v>-2.9030184088499409</v>
      </c>
    </row>
    <row r="73" spans="1:48" x14ac:dyDescent="0.2">
      <c r="A73" s="198" t="s">
        <v>61</v>
      </c>
      <c r="B73" s="201">
        <f>1/(B14*B15)</f>
        <v>2500000</v>
      </c>
      <c r="C73" s="200"/>
      <c r="D73" s="205"/>
      <c r="F73" s="195">
        <v>71</v>
      </c>
      <c r="G73" s="210">
        <f t="shared" si="33"/>
        <v>168.64228380698049</v>
      </c>
      <c r="H73" s="210">
        <f t="shared" si="34"/>
        <v>168.57881372500071</v>
      </c>
      <c r="I73" s="196">
        <f t="shared" si="35"/>
        <v>1</v>
      </c>
      <c r="J73" s="195">
        <f t="shared" si="57"/>
        <v>1</v>
      </c>
      <c r="K73" s="195">
        <f t="shared" si="58"/>
        <v>1</v>
      </c>
      <c r="L73" s="195">
        <f>10^('Small Signal'!F73/30)</f>
        <v>232.6305067153628</v>
      </c>
      <c r="M73" s="195" t="str">
        <f t="shared" si="36"/>
        <v>1461.66058179571i</v>
      </c>
      <c r="N73" s="195">
        <f>IF(D$32=1, IF(AND('Small Signal'!$B$62&gt;=1,FCCM=0),V73+0,S73+0), 0)</f>
        <v>9.1265541042448923</v>
      </c>
      <c r="O73" s="195">
        <f>IF(D$32=1, IF(AND('Small Signal'!$B$62&gt;=1,FCCM=0),W73,T73), 0)</f>
        <v>-3.1210359417529534</v>
      </c>
      <c r="P73" s="195">
        <f>IF(AND('Small Signal'!$B$62&gt;=1,FCCM=0),AF73+0,AC73+0)</f>
        <v>54.761158338922726</v>
      </c>
      <c r="Q73" s="195">
        <f>IF(AND('Small Signal'!$B$62&gt;=1,FCCM=0),AG73,AD73)</f>
        <v>114.04600337998478</v>
      </c>
      <c r="R73" s="195" t="str">
        <f>IMDIV(IMSUM('Small Signal'!$B$2*'Small Signal'!$B$39*'Small Signal'!$B$63,IMPRODUCT(M73,'Small Signal'!$B$2*'Small Signal'!$B$39*'Small Signal'!$B$63*'Small Signal'!$B$14*'Small Signal'!$B$15)),IMSUM(IMPRODUCT('Small Signal'!$B$12*'Small Signal'!$B$14*('Small Signal'!$B$15+'Small Signal'!$B$39),IMPOWER(M73,2)),IMSUM(IMPRODUCT(M73,('Small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2.60827196811204-0.132059901366272i</v>
      </c>
      <c r="S73" s="195">
        <f t="shared" si="59"/>
        <v>9.1265541042448923</v>
      </c>
      <c r="T73" s="195">
        <f t="shared" si="60"/>
        <v>-3.1210359417529534</v>
      </c>
      <c r="U73" s="195" t="str">
        <f>IMDIV(IMSUM('Small Signal'!$B$75,IMPRODUCT(M73,'Small Signal'!$B$76)),IMSUM(IMPRODUCT('Small Signal'!$B$79,IMPOWER(M73,2)),IMSUM(IMPRODUCT(M73,'Small Signal'!$B$78),'Small Signal'!$B$77)))</f>
        <v>3.05842250855023-0.118858924243373i</v>
      </c>
      <c r="V73" s="195">
        <f t="shared" si="37"/>
        <v>9.7165039074339159</v>
      </c>
      <c r="W73" s="195">
        <f t="shared" si="38"/>
        <v>-2.2255555992238532</v>
      </c>
      <c r="X73" s="195" t="str">
        <f>IMPRODUCT(IMDIV(IMSUM(IMPRODUCT(M73,'Small Signal'!$B$58*'Small Signal'!$B$6*'Small Signal'!$B$51*'Small Signal'!$B$7*'Small Signal'!$B$8),'Small Signal'!$B$58*'Small Signal'!$B$6*'Small Signal'!$B$51),IMSUM(IMSUM(IMPRODUCT(M73,('Small Signal'!$B$5+'Small Signal'!$B$6)*('Small Signal'!$B$57*'Small Signal'!$B$58)+'Small Signal'!$B$5*'Small Signal'!$B$58*('Small Signal'!$B$8+'Small Signal'!$B$9)+'Small Signal'!$B$6*'Small Signal'!$B$58*('Small Signal'!$B$8+'Small Signal'!$B$9)+'Small Signal'!$B$7*'Small Signal'!$B$8*('Small Signal'!$B$5+'Small Signal'!$B$6)),'Small Signal'!$B$6+'Small Signal'!$B$5),IMPRODUCT(IMPOWER(M73,2),'Small Signal'!$B$57*'Small Signal'!$B$58*'Small Signal'!$B$8*'Small Signal'!$B$7*('Small Signal'!$B$5+'Small Signal'!$B$6)+('Small Signal'!$B$5+'Small Signal'!$B$6)*('Small Signal'!$B$9*'Small Signal'!$B$8*'Small Signal'!$B$58*'Small Signal'!$B$7)))),-1)</f>
        <v>-87.1928478414451+170.280905516544i</v>
      </c>
      <c r="Y73" s="195">
        <f t="shared" si="39"/>
        <v>45.634604234677823</v>
      </c>
      <c r="Z73" s="195">
        <f t="shared" si="40"/>
        <v>117.16703932173773</v>
      </c>
      <c r="AA73" s="195" t="str">
        <f t="shared" si="41"/>
        <v>1.00000066812659+0.000910838591069343i</v>
      </c>
      <c r="AB73" s="195" t="str">
        <f t="shared" si="42"/>
        <v>-222.922324924549+499.611769534803i</v>
      </c>
      <c r="AC73" s="192">
        <f t="shared" si="43"/>
        <v>54.761158338922726</v>
      </c>
      <c r="AD73" s="195">
        <f t="shared" si="44"/>
        <v>114.04600337998478</v>
      </c>
      <c r="AE73" s="195" t="str">
        <f t="shared" si="45"/>
        <v>-246.433163173987+531.154602304264i</v>
      </c>
      <c r="AF73" s="192">
        <f t="shared" si="46"/>
        <v>55.351098735822156</v>
      </c>
      <c r="AG73" s="195">
        <f t="shared" si="47"/>
        <v>114.88929656472747</v>
      </c>
      <c r="AI73" s="195" t="str">
        <f t="shared" si="48"/>
        <v>0.002-3.42076680610576i</v>
      </c>
      <c r="AJ73" s="195">
        <f t="shared" si="49"/>
        <v>0.22500000000000001</v>
      </c>
      <c r="AK73" s="195" t="str">
        <f t="shared" si="50"/>
        <v>0.0375-6841.53361221152i</v>
      </c>
      <c r="AL73" s="195" t="str">
        <f t="shared" si="51"/>
        <v>0.224021267033722-0.0147417330172317i</v>
      </c>
      <c r="AM73" s="195" t="str">
        <f t="shared" si="52"/>
        <v>0.898502460922707-0.00017712569836029i</v>
      </c>
      <c r="AN73" s="195" t="str">
        <f t="shared" si="53"/>
        <v>0.006+0.00201351202594307i</v>
      </c>
      <c r="AO73" s="195" t="str">
        <f t="shared" si="54"/>
        <v>2.85550588089486-0.1557001553107i</v>
      </c>
      <c r="AP73" s="195">
        <f t="shared" si="61"/>
        <v>9.1265541042448923</v>
      </c>
      <c r="AQ73" s="195">
        <f t="shared" si="62"/>
        <v>-3.1210359417529534</v>
      </c>
      <c r="AS73" s="195" t="str">
        <f t="shared" si="55"/>
        <v>0.921951181788879-0.000186491432650592i</v>
      </c>
      <c r="AT73" s="195" t="str">
        <f t="shared" si="56"/>
        <v>2.8703573509041-0.157171415016363i</v>
      </c>
      <c r="AU73" s="195">
        <f t="shared" si="63"/>
        <v>9.1717213416782428</v>
      </c>
      <c r="AV73" s="195">
        <f t="shared" si="64"/>
        <v>-3.1342002542951084</v>
      </c>
    </row>
    <row r="74" spans="1:48" x14ac:dyDescent="0.2">
      <c r="A74" s="198"/>
      <c r="B74" s="200"/>
      <c r="C74" s="200"/>
      <c r="D74" s="205"/>
      <c r="F74" s="195">
        <v>72</v>
      </c>
      <c r="G74" s="210">
        <f t="shared" si="33"/>
        <v>168.64734711832938</v>
      </c>
      <c r="H74" s="210">
        <f t="shared" si="34"/>
        <v>168.57881372500071</v>
      </c>
      <c r="I74" s="196">
        <f t="shared" si="35"/>
        <v>1</v>
      </c>
      <c r="J74" s="195">
        <f t="shared" si="57"/>
        <v>1</v>
      </c>
      <c r="K74" s="195">
        <f t="shared" si="58"/>
        <v>1</v>
      </c>
      <c r="L74" s="195">
        <f>10^('Small Signal'!F74/30)</f>
        <v>251.18864315095806</v>
      </c>
      <c r="M74" s="195" t="str">
        <f t="shared" si="36"/>
        <v>1578.26479197648i</v>
      </c>
      <c r="N74" s="195">
        <f>IF(D$32=1, IF(AND('Small Signal'!$B$62&gt;=1,FCCM=0),V74+0,S74+0), 0)</f>
        <v>9.1245435416484995</v>
      </c>
      <c r="O74" s="195">
        <f>IF(D$32=1, IF(AND('Small Signal'!$B$62&gt;=1,FCCM=0),W74,T74), 0)</f>
        <v>-3.3695133289593771</v>
      </c>
      <c r="P74" s="195">
        <f>IF(AND('Small Signal'!$B$62&gt;=1,FCCM=0),AF74+0,AC74+0)</f>
        <v>54.208242028454521</v>
      </c>
      <c r="Q74" s="195">
        <f>IF(AND('Small Signal'!$B$62&gt;=1,FCCM=0),AG74,AD74)</f>
        <v>112.27838265771207</v>
      </c>
      <c r="R74" s="195" t="str">
        <f>IMDIV(IMSUM('Small Signal'!$B$2*'Small Signal'!$B$39*'Small Signal'!$B$63,IMPRODUCT(M74,'Small Signal'!$B$2*'Small Signal'!$B$39*'Small Signal'!$B$63*'Small Signal'!$B$14*'Small Signal'!$B$15)),IMSUM(IMPRODUCT('Small Signal'!$B$12*'Small Signal'!$B$14*('Small Signal'!$B$15+'Small Signal'!$B$39),IMPOWER(M74,2)),IMSUM(IMPRODUCT(M74,('Small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2.60722126697047-0.142540639127418i</v>
      </c>
      <c r="S74" s="195">
        <f t="shared" si="59"/>
        <v>9.1245435416484995</v>
      </c>
      <c r="T74" s="195">
        <f t="shared" si="60"/>
        <v>-3.3695133289593771</v>
      </c>
      <c r="U74" s="195" t="str">
        <f>IMDIV(IMSUM('Small Signal'!$B$75,IMPRODUCT(M74,'Small Signal'!$B$76)),IMSUM(IMPRODUCT('Small Signal'!$B$79,IMPOWER(M74,2)),IMSUM(IMPRODUCT(M74,'Small Signal'!$B$78),'Small Signal'!$B$77)))</f>
        <v>3.05782112489394-0.1283226746273i</v>
      </c>
      <c r="V74" s="195">
        <f t="shared" si="37"/>
        <v>9.7158831422167733</v>
      </c>
      <c r="W74" s="195">
        <f t="shared" si="38"/>
        <v>-2.403030088128804</v>
      </c>
      <c r="X74" s="195" t="str">
        <f>IMPRODUCT(IMDIV(IMSUM(IMPRODUCT(M74,'Small Signal'!$B$58*'Small Signal'!$B$6*'Small Signal'!$B$51*'Small Signal'!$B$7*'Small Signal'!$B$8),'Small Signal'!$B$58*'Small Signal'!$B$6*'Small Signal'!$B$51),IMSUM(IMSUM(IMPRODUCT(M74,('Small Signal'!$B$5+'Small Signal'!$B$6)*('Small Signal'!$B$57*'Small Signal'!$B$58)+'Small Signal'!$B$5*'Small Signal'!$B$58*('Small Signal'!$B$8+'Small Signal'!$B$9)+'Small Signal'!$B$6*'Small Signal'!$B$58*('Small Signal'!$B$8+'Small Signal'!$B$9)+'Small Signal'!$B$7*'Small Signal'!$B$8*('Small Signal'!$B$5+'Small Signal'!$B$6)),'Small Signal'!$B$6+'Small Signal'!$B$5),IMPRODUCT(IMPOWER(M74,2),'Small Signal'!$B$57*'Small Signal'!$B$58*'Small Signal'!$B$8*'Small Signal'!$B$7*('Small Signal'!$B$5+'Small Signal'!$B$6)+('Small Signal'!$B$5+'Small Signal'!$B$6)*('Small Signal'!$B$9*'Small Signal'!$B$8*'Small Signal'!$B$58*'Small Signal'!$B$7)))),-1)</f>
        <v>-77.5569177621937+161.935090627185i</v>
      </c>
      <c r="Y74" s="195">
        <f t="shared" si="39"/>
        <v>45.083698486806021</v>
      </c>
      <c r="Z74" s="195">
        <f t="shared" si="40"/>
        <v>115.6478959866714</v>
      </c>
      <c r="AA74" s="195" t="str">
        <f t="shared" si="41"/>
        <v>1.00000077897834+0.000983500799726508i</v>
      </c>
      <c r="AB74" s="195" t="str">
        <f t="shared" si="42"/>
        <v>-194.613951065443+475.02826728774i</v>
      </c>
      <c r="AC74" s="192">
        <f t="shared" si="43"/>
        <v>54.208242028454521</v>
      </c>
      <c r="AD74" s="195">
        <f t="shared" si="44"/>
        <v>112.27838265771207</v>
      </c>
      <c r="AE74" s="195" t="str">
        <f t="shared" si="45"/>
        <v>-216.375237569603+505.120852104515i</v>
      </c>
      <c r="AF74" s="192">
        <f t="shared" si="46"/>
        <v>54.799570662097274</v>
      </c>
      <c r="AG74" s="195">
        <f t="shared" si="47"/>
        <v>113.18851551563495</v>
      </c>
      <c r="AI74" s="195" t="str">
        <f t="shared" si="48"/>
        <v>0.002-3.16803620369586i</v>
      </c>
      <c r="AJ74" s="195">
        <f t="shared" si="49"/>
        <v>0.22500000000000001</v>
      </c>
      <c r="AK74" s="195" t="str">
        <f t="shared" si="50"/>
        <v>0.0375-6336.07240739172i</v>
      </c>
      <c r="AL74" s="195" t="str">
        <f t="shared" si="51"/>
        <v>0.223859711411202-0.0159061754939161i</v>
      </c>
      <c r="AM74" s="195" t="str">
        <f t="shared" si="52"/>
        <v>0.89850245512938-0.000191255928466219i</v>
      </c>
      <c r="AN74" s="195" t="str">
        <f t="shared" si="53"/>
        <v>0.006+0.00217414027466148i</v>
      </c>
      <c r="AO74" s="195" t="str">
        <f t="shared" si="54"/>
        <v>2.85414306031601-0.168043360984512i</v>
      </c>
      <c r="AP74" s="195">
        <f t="shared" si="61"/>
        <v>9.1245435416484995</v>
      </c>
      <c r="AQ74" s="195">
        <f t="shared" si="62"/>
        <v>-3.3695133289593771</v>
      </c>
      <c r="AS74" s="195" t="str">
        <f t="shared" si="55"/>
        <v>0.921951175530039-0.00020136881559599i</v>
      </c>
      <c r="AT74" s="195" t="str">
        <f t="shared" si="56"/>
        <v>2.86897432884187-0.169630407805473i</v>
      </c>
      <c r="AU74" s="195">
        <f t="shared" si="63"/>
        <v>9.1696890982733983</v>
      </c>
      <c r="AV74" s="195">
        <f t="shared" si="64"/>
        <v>-3.3837195740987815</v>
      </c>
    </row>
    <row r="75" spans="1:48" x14ac:dyDescent="0.2">
      <c r="A75" s="198" t="s">
        <v>63</v>
      </c>
      <c r="B75" s="201">
        <f>B63*B70*B12*B11*B73</f>
        <v>6744165.4263605196</v>
      </c>
      <c r="C75" s="200"/>
      <c r="D75" s="205"/>
      <c r="F75" s="195">
        <v>73</v>
      </c>
      <c r="G75" s="210">
        <f t="shared" si="33"/>
        <v>168.65281434975617</v>
      </c>
      <c r="H75" s="210">
        <f t="shared" si="34"/>
        <v>168.57881372500071</v>
      </c>
      <c r="I75" s="196">
        <f t="shared" si="35"/>
        <v>1</v>
      </c>
      <c r="J75" s="195">
        <f t="shared" si="57"/>
        <v>1</v>
      </c>
      <c r="K75" s="195">
        <f t="shared" si="58"/>
        <v>1</v>
      </c>
      <c r="L75" s="195">
        <f>10^('Small Signal'!F75/30)</f>
        <v>271.22725793320296</v>
      </c>
      <c r="M75" s="195" t="str">
        <f t="shared" si="36"/>
        <v>1704.17112195251i</v>
      </c>
      <c r="N75" s="195">
        <f>IF(D$32=1, IF(AND('Small Signal'!$B$62&gt;=1,FCCM=0),V75+0,S75+0), 0)</f>
        <v>9.1222005692216559</v>
      </c>
      <c r="O75" s="195">
        <f>IF(D$32=1, IF(AND('Small Signal'!$B$62&gt;=1,FCCM=0),W75,T75), 0)</f>
        <v>-3.6376829842323093</v>
      </c>
      <c r="P75" s="195">
        <f>IF(AND('Small Signal'!$B$62&gt;=1,FCCM=0),AF75+0,AC75+0)</f>
        <v>53.641222657724597</v>
      </c>
      <c r="Q75" s="195">
        <f>IF(AND('Small Signal'!$B$62&gt;=1,FCCM=0),AG75,AD75)</f>
        <v>110.5863790558117</v>
      </c>
      <c r="R75" s="195" t="str">
        <f>IMDIV(IMSUM('Small Signal'!$B$2*'Small Signal'!$B$39*'Small Signal'!$B$63,IMPRODUCT(M75,'Small Signal'!$B$2*'Small Signal'!$B$39*'Small Signal'!$B$63*'Small Signal'!$B$14*'Small Signal'!$B$15)),IMSUM(IMPRODUCT('Small Signal'!$B$12*'Small Signal'!$B$14*('Small Signal'!$B$15+'Small Signal'!$B$39),IMPOWER(M75,2)),IMSUM(IMPRODUCT(M75,('Small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2.60599724674056-0.153843459925504i</v>
      </c>
      <c r="S75" s="195">
        <f t="shared" si="59"/>
        <v>9.1222005692216559</v>
      </c>
      <c r="T75" s="195">
        <f t="shared" si="60"/>
        <v>-3.6376829842323093</v>
      </c>
      <c r="U75" s="195" t="str">
        <f>IMDIV(IMSUM('Small Signal'!$B$75,IMPRODUCT(M75,'Small Signal'!$B$76)),IMSUM(IMPRODUCT('Small Signal'!$B$79,IMPOWER(M75,2)),IMSUM(IMPRODUCT(M75,'Small Signal'!$B$78),'Small Signal'!$B$77)))</f>
        <v>3.05712015467105-0.138536680496632i</v>
      </c>
      <c r="V75" s="195">
        <f t="shared" si="37"/>
        <v>9.7151594590420469</v>
      </c>
      <c r="W75" s="195">
        <f t="shared" si="38"/>
        <v>-2.5946446315641558</v>
      </c>
      <c r="X75" s="195" t="str">
        <f>IMPRODUCT(IMDIV(IMSUM(IMPRODUCT(M75,'Small Signal'!$B$58*'Small Signal'!$B$6*'Small Signal'!$B$51*'Small Signal'!$B$7*'Small Signal'!$B$8),'Small Signal'!$B$58*'Small Signal'!$B$6*'Small Signal'!$B$51),IMSUM(IMSUM(IMPRODUCT(M75,('Small Signal'!$B$5+'Small Signal'!$B$6)*('Small Signal'!$B$57*'Small Signal'!$B$58)+'Small Signal'!$B$5*'Small Signal'!$B$58*('Small Signal'!$B$8+'Small Signal'!$B$9)+'Small Signal'!$B$6*'Small Signal'!$B$58*('Small Signal'!$B$8+'Small Signal'!$B$9)+'Small Signal'!$B$7*'Small Signal'!$B$8*('Small Signal'!$B$5+'Small Signal'!$B$6)),'Small Signal'!$B$6+'Small Signal'!$B$5),IMPRODUCT(IMPOWER(M75,2),'Small Signal'!$B$57*'Small Signal'!$B$58*'Small Signal'!$B$8*'Small Signal'!$B$7*('Small Signal'!$B$5+'Small Signal'!$B$6)+('Small Signal'!$B$5+'Small Signal'!$B$6)*('Small Signal'!$B$9*'Small Signal'!$B$8*'Small Signal'!$B$58*'Small Signal'!$B$7)))),-1)</f>
        <v>-68.8702820548785+153.506827431092i</v>
      </c>
      <c r="Y75" s="195">
        <f t="shared" si="39"/>
        <v>44.519022088502936</v>
      </c>
      <c r="Z75" s="195">
        <f t="shared" si="40"/>
        <v>114.22406204004402</v>
      </c>
      <c r="AA75" s="195" t="str">
        <f t="shared" si="41"/>
        <v>1.00000090822197+0.00106195962514081i</v>
      </c>
      <c r="AB75" s="195" t="str">
        <f t="shared" si="42"/>
        <v>-169.09610405688+450.19783064764i</v>
      </c>
      <c r="AC75" s="192">
        <f t="shared" si="43"/>
        <v>53.641222657724597</v>
      </c>
      <c r="AD75" s="195">
        <f t="shared" si="44"/>
        <v>110.5863790558117</v>
      </c>
      <c r="AE75" s="195" t="str">
        <f t="shared" si="45"/>
        <v>-189.278401021976+478.829876279952i</v>
      </c>
      <c r="AF75" s="192">
        <f t="shared" si="46"/>
        <v>54.234168761052601</v>
      </c>
      <c r="AG75" s="195">
        <f t="shared" si="47"/>
        <v>111.56857168208045</v>
      </c>
      <c r="AI75" s="195" t="str">
        <f t="shared" si="48"/>
        <v>0.002-2.93397765963278i</v>
      </c>
      <c r="AJ75" s="195">
        <f t="shared" si="49"/>
        <v>0.22500000000000001</v>
      </c>
      <c r="AK75" s="195" t="str">
        <f t="shared" si="50"/>
        <v>0.0375-5867.95531926557i</v>
      </c>
      <c r="AL75" s="195" t="str">
        <f t="shared" si="51"/>
        <v>0.223671647970564-0.0171605357280701i</v>
      </c>
      <c r="AM75" s="195" t="str">
        <f t="shared" si="52"/>
        <v>0.898502448374858-0.000206513399653277i</v>
      </c>
      <c r="AN75" s="195" t="str">
        <f t="shared" si="53"/>
        <v>0.006+0.0023475826679958i</v>
      </c>
      <c r="AO75" s="195" t="str">
        <f t="shared" si="54"/>
        <v>2.8525557180966-0.18135120162986i</v>
      </c>
      <c r="AP75" s="195">
        <f t="shared" si="61"/>
        <v>9.1222005692216559</v>
      </c>
      <c r="AQ75" s="195">
        <f t="shared" si="62"/>
        <v>-3.6376829842323093</v>
      </c>
      <c r="AS75" s="195" t="str">
        <f t="shared" si="55"/>
        <v>0.921951168232767-0.000217433043826909i</v>
      </c>
      <c r="AT75" s="195" t="str">
        <f t="shared" si="56"/>
        <v>2.86736347453733-0.183062865739493i</v>
      </c>
      <c r="AU75" s="195">
        <f t="shared" si="63"/>
        <v>9.1673208735237406</v>
      </c>
      <c r="AV75" s="195">
        <f t="shared" si="64"/>
        <v>-3.6530121559654445</v>
      </c>
    </row>
    <row r="76" spans="1:48" x14ac:dyDescent="0.2">
      <c r="A76" s="198" t="s">
        <v>62</v>
      </c>
      <c r="B76" s="201">
        <f>B63*B70*B12*B11</f>
        <v>2.697666170544208</v>
      </c>
      <c r="C76" s="200"/>
      <c r="D76" s="205"/>
      <c r="F76" s="195">
        <v>74</v>
      </c>
      <c r="G76" s="210">
        <f t="shared" si="33"/>
        <v>168.65871772239186</v>
      </c>
      <c r="H76" s="210">
        <f t="shared" si="34"/>
        <v>168.57881372500071</v>
      </c>
      <c r="I76" s="196">
        <f t="shared" si="35"/>
        <v>1</v>
      </c>
      <c r="J76" s="195">
        <f t="shared" si="57"/>
        <v>1</v>
      </c>
      <c r="K76" s="195">
        <f t="shared" si="58"/>
        <v>1</v>
      </c>
      <c r="L76" s="195">
        <f>10^('Small Signal'!F76/30)</f>
        <v>292.86445646252383</v>
      </c>
      <c r="M76" s="195" t="str">
        <f t="shared" si="36"/>
        <v>1840.12164984047i</v>
      </c>
      <c r="N76" s="195">
        <f>IF(D$32=1, IF(AND('Small Signal'!$B$62&gt;=1,FCCM=0),V76+0,S76+0), 0)</f>
        <v>9.1194704546293686</v>
      </c>
      <c r="O76" s="195">
        <f>IF(D$32=1, IF(AND('Small Signal'!$B$62&gt;=1,FCCM=0),W76,T76), 0)</f>
        <v>-3.9270823642124482</v>
      </c>
      <c r="P76" s="195">
        <f>IF(AND('Small Signal'!$B$62&gt;=1,FCCM=0),AF76+0,AC76+0)</f>
        <v>53.061470463685161</v>
      </c>
      <c r="Q76" s="195">
        <f>IF(AND('Small Signal'!$B$62&gt;=1,FCCM=0),AG76,AD76)</f>
        <v>108.96964505242079</v>
      </c>
      <c r="R76" s="195" t="str">
        <f>IMDIV(IMSUM('Small Signal'!$B$2*'Small Signal'!$B$39*'Small Signal'!$B$63,IMPRODUCT(M76,'Small Signal'!$B$2*'Small Signal'!$B$39*'Small Signal'!$B$63*'Small Signal'!$B$14*'Small Signal'!$B$15)),IMSUM(IMPRODUCT('Small Signal'!$B$12*'Small Signal'!$B$14*('Small Signal'!$B$15+'Small Signal'!$B$39),IMPOWER(M76,2)),IMSUM(IMPRODUCT(M76,('Small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2.60457151146035-0.166030341768049i</v>
      </c>
      <c r="S76" s="195">
        <f t="shared" si="59"/>
        <v>9.1194704546293686</v>
      </c>
      <c r="T76" s="195">
        <f t="shared" si="60"/>
        <v>-3.9270823642124482</v>
      </c>
      <c r="U76" s="195" t="str">
        <f>IMDIV(IMSUM('Small Signal'!$B$75,IMPRODUCT(M76,'Small Signal'!$B$76)),IMSUM(IMPRODUCT('Small Signal'!$B$79,IMPOWER(M76,2)),IMSUM(IMPRODUCT(M76,'Small Signal'!$B$78),'Small Signal'!$B$77)))</f>
        <v>3.05630314379671-0.149559575103946i</v>
      </c>
      <c r="V76" s="195">
        <f t="shared" si="37"/>
        <v>9.7143158095985491</v>
      </c>
      <c r="W76" s="195">
        <f t="shared" si="38"/>
        <v>-2.8015225991508079</v>
      </c>
      <c r="X76" s="195" t="str">
        <f>IMPRODUCT(IMDIV(IMSUM(IMPRODUCT(M76,'Small Signal'!$B$58*'Small Signal'!$B$6*'Small Signal'!$B$51*'Small Signal'!$B$7*'Small Signal'!$B$8),'Small Signal'!$B$58*'Small Signal'!$B$6*'Small Signal'!$B$51),IMSUM(IMSUM(IMPRODUCT(M76,('Small Signal'!$B$5+'Small Signal'!$B$6)*('Small Signal'!$B$57*'Small Signal'!$B$58)+'Small Signal'!$B$5*'Small Signal'!$B$58*('Small Signal'!$B$8+'Small Signal'!$B$9)+'Small Signal'!$B$6*'Small Signal'!$B$58*('Small Signal'!$B$8+'Small Signal'!$B$9)+'Small Signal'!$B$7*'Small Signal'!$B$8*('Small Signal'!$B$5+'Small Signal'!$B$6)),'Small Signal'!$B$6+'Small Signal'!$B$5),IMPRODUCT(IMPOWER(M76,2),'Small Signal'!$B$57*'Small Signal'!$B$58*'Small Signal'!$B$8*'Small Signal'!$B$7*('Small Signal'!$B$5+'Small Signal'!$B$6)+('Small Signal'!$B$5+'Small Signal'!$B$6)*('Small Signal'!$B$9*'Small Signal'!$B$8*'Small Signal'!$B$58*'Small Signal'!$B$7)))),-1)</f>
        <v>-61.0868164322641+145.099786294598i</v>
      </c>
      <c r="Y76" s="195">
        <f t="shared" si="39"/>
        <v>43.942000009055796</v>
      </c>
      <c r="Z76" s="195">
        <f t="shared" si="40"/>
        <v>112.89672741663323</v>
      </c>
      <c r="AA76" s="195" t="str">
        <f t="shared" si="41"/>
        <v>1.00000105890895+0.00114667748746875i</v>
      </c>
      <c r="AB76" s="195" t="str">
        <f t="shared" si="42"/>
        <v>-146.233422826032+425.424743365899i</v>
      </c>
      <c r="AC76" s="192">
        <f t="shared" si="43"/>
        <v>53.061470463685161</v>
      </c>
      <c r="AD76" s="195">
        <f t="shared" si="44"/>
        <v>108.96964505242079</v>
      </c>
      <c r="AE76" s="195" t="str">
        <f t="shared" si="45"/>
        <v>-164.998766720568+452.605051326473i</v>
      </c>
      <c r="AF76" s="192">
        <f t="shared" si="46"/>
        <v>53.656300910704147</v>
      </c>
      <c r="AG76" s="195">
        <f t="shared" si="47"/>
        <v>110.02950513535323</v>
      </c>
      <c r="AI76" s="195" t="str">
        <f t="shared" si="48"/>
        <v>0.002-2.7172116584974i</v>
      </c>
      <c r="AJ76" s="195">
        <f t="shared" si="49"/>
        <v>0.22500000000000001</v>
      </c>
      <c r="AK76" s="195" t="str">
        <f t="shared" si="50"/>
        <v>0.0375-5434.4233169948i</v>
      </c>
      <c r="AL76" s="195" t="str">
        <f t="shared" si="51"/>
        <v>0.223452784230994-0.0185112270587944i</v>
      </c>
      <c r="AM76" s="195" t="str">
        <f t="shared" si="52"/>
        <v>0.898502440499665-0.000222988037679019i</v>
      </c>
      <c r="AN76" s="195" t="str">
        <f t="shared" si="53"/>
        <v>0.006+0.00253486145641289i</v>
      </c>
      <c r="AO76" s="195" t="str">
        <f t="shared" si="54"/>
        <v>2.85070717069339-0.195695486281228i</v>
      </c>
      <c r="AP76" s="195">
        <f t="shared" si="61"/>
        <v>9.1194704546293686</v>
      </c>
      <c r="AQ76" s="195">
        <f t="shared" si="62"/>
        <v>-3.9270823642124482</v>
      </c>
      <c r="AS76" s="195" t="str">
        <f t="shared" si="55"/>
        <v>0.921951159724772-0.000234778798027012i</v>
      </c>
      <c r="AT76" s="195" t="str">
        <f t="shared" si="56"/>
        <v>2.86548756981554-0.197541198391959i</v>
      </c>
      <c r="AU76" s="195">
        <f t="shared" si="63"/>
        <v>9.1645613516867996</v>
      </c>
      <c r="AV76" s="195">
        <f t="shared" si="64"/>
        <v>-3.943621372146116</v>
      </c>
    </row>
    <row r="77" spans="1:48" x14ac:dyDescent="0.2">
      <c r="A77" s="198" t="s">
        <v>64</v>
      </c>
      <c r="B77" s="201">
        <f>B12*B73*B11-B63*B70*B73*B54*B69</f>
        <v>2202499.8192695258</v>
      </c>
      <c r="C77" s="200"/>
      <c r="D77" s="205"/>
      <c r="F77" s="195">
        <v>75</v>
      </c>
      <c r="G77" s="210">
        <f t="shared" si="33"/>
        <v>168.66509202738376</v>
      </c>
      <c r="H77" s="210">
        <f t="shared" si="34"/>
        <v>168.57881372500071</v>
      </c>
      <c r="I77" s="196">
        <f t="shared" si="35"/>
        <v>1</v>
      </c>
      <c r="J77" s="195">
        <f t="shared" si="57"/>
        <v>1</v>
      </c>
      <c r="K77" s="195">
        <f t="shared" si="58"/>
        <v>1</v>
      </c>
      <c r="L77" s="195">
        <f>10^('Small Signal'!F77/30)</f>
        <v>316.22776601683825</v>
      </c>
      <c r="M77" s="195" t="str">
        <f t="shared" si="36"/>
        <v>1986.91765315922i</v>
      </c>
      <c r="N77" s="195">
        <f>IF(D$32=1, IF(AND('Small Signal'!$B$62&gt;=1,FCCM=0),V77+0,S77+0), 0)</f>
        <v>9.1162895343056309</v>
      </c>
      <c r="O77" s="195">
        <f>IF(D$32=1, IF(AND('Small Signal'!$B$62&gt;=1,FCCM=0),W77,T77), 0)</f>
        <v>-4.2393629856897777</v>
      </c>
      <c r="P77" s="195">
        <f>IF(AND('Small Signal'!$B$62&gt;=1,FCCM=0),AF77+0,AC77+0)</f>
        <v>52.470271926903173</v>
      </c>
      <c r="Q77" s="195">
        <f>IF(AND('Small Signal'!$B$62&gt;=1,FCCM=0),AG77,AD77)</f>
        <v>107.42683227293382</v>
      </c>
      <c r="R77" s="195" t="str">
        <f>IMDIV(IMSUM('Small Signal'!$B$2*'Small Signal'!$B$39*'Small Signal'!$B$63,IMPRODUCT(M77,'Small Signal'!$B$2*'Small Signal'!$B$39*'Small Signal'!$B$63*'Small Signal'!$B$14*'Small Signal'!$B$15)),IMSUM(IMPRODUCT('Small Signal'!$B$12*'Small Signal'!$B$14*('Small Signal'!$B$15+'Small Signal'!$B$39),IMPOWER(M77,2)),IMSUM(IMPRODUCT(M77,('Small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2.602911082233-0.179167286035367i</v>
      </c>
      <c r="S77" s="195">
        <f t="shared" si="59"/>
        <v>9.1162895343056309</v>
      </c>
      <c r="T77" s="195">
        <f t="shared" si="60"/>
        <v>-4.2393629856897777</v>
      </c>
      <c r="U77" s="195" t="str">
        <f>IMDIV(IMSUM('Small Signal'!$B$75,IMPRODUCT(M77,'Small Signal'!$B$76)),IMSUM(IMPRODUCT('Small Signal'!$B$79,IMPOWER(M77,2)),IMSUM(IMPRODUCT(M77,'Small Signal'!$B$78),'Small Signal'!$B$77)))</f>
        <v>3.05535093286339-0.161454354977522i</v>
      </c>
      <c r="V77" s="195">
        <f t="shared" si="37"/>
        <v>9.7133323267953937</v>
      </c>
      <c r="W77" s="195">
        <f t="shared" si="38"/>
        <v>-3.0248757746652015</v>
      </c>
      <c r="X77" s="195" t="str">
        <f>IMPRODUCT(IMDIV(IMSUM(IMPRODUCT(M77,'Small Signal'!$B$58*'Small Signal'!$B$6*'Small Signal'!$B$51*'Small Signal'!$B$7*'Small Signal'!$B$8),'Small Signal'!$B$58*'Small Signal'!$B$6*'Small Signal'!$B$51),IMSUM(IMSUM(IMPRODUCT(M77,('Small Signal'!$B$5+'Small Signal'!$B$6)*('Small Signal'!$B$57*'Small Signal'!$B$58)+'Small Signal'!$B$5*'Small Signal'!$B$58*('Small Signal'!$B$8+'Small Signal'!$B$9)+'Small Signal'!$B$6*'Small Signal'!$B$58*('Small Signal'!$B$8+'Small Signal'!$B$9)+'Small Signal'!$B$7*'Small Signal'!$B$8*('Small Signal'!$B$5+'Small Signal'!$B$6)),'Small Signal'!$B$6+'Small Signal'!$B$5),IMPRODUCT(IMPOWER(M77,2),'Small Signal'!$B$57*'Small Signal'!$B$58*'Small Signal'!$B$8*'Small Signal'!$B$7*('Small Signal'!$B$5+'Small Signal'!$B$6)+('Small Signal'!$B$5+'Small Signal'!$B$6)*('Small Signal'!$B$9*'Small Signal'!$B$8*'Small Signal'!$B$58*'Small Signal'!$B$7)))),-1)</f>
        <v>-54.1504626587444+136.801559868052i</v>
      </c>
      <c r="Y77" s="195">
        <f t="shared" si="39"/>
        <v>43.35398239259753</v>
      </c>
      <c r="Z77" s="195">
        <f t="shared" si="40"/>
        <v>111.66619525862356</v>
      </c>
      <c r="AA77" s="195" t="str">
        <f t="shared" si="41"/>
        <v>1.00000123459702+0.0012381536949857i</v>
      </c>
      <c r="AB77" s="195" t="str">
        <f t="shared" si="42"/>
        <v>-125.861383583767+400.966023891248i</v>
      </c>
      <c r="AC77" s="192">
        <f t="shared" si="43"/>
        <v>52.470271926903173</v>
      </c>
      <c r="AD77" s="195">
        <f t="shared" si="44"/>
        <v>107.42683227293382</v>
      </c>
      <c r="AE77" s="195" t="str">
        <f t="shared" si="45"/>
        <v>-143.361458990964+426.719601580322i</v>
      </c>
      <c r="AF77" s="192">
        <f t="shared" si="46"/>
        <v>53.067297338006519</v>
      </c>
      <c r="AG77" s="195">
        <f t="shared" si="47"/>
        <v>108.57037862668184</v>
      </c>
      <c r="AI77" s="195" t="str">
        <f t="shared" si="48"/>
        <v>0.002-2.51646060522435i</v>
      </c>
      <c r="AJ77" s="195">
        <f t="shared" si="49"/>
        <v>0.22500000000000001</v>
      </c>
      <c r="AK77" s="195" t="str">
        <f t="shared" si="50"/>
        <v>0.0375-5032.9212104487i</v>
      </c>
      <c r="AL77" s="195" t="str">
        <f t="shared" si="51"/>
        <v>0.223198152858954-0.0199649826249543i</v>
      </c>
      <c r="AM77" s="195" t="str">
        <f t="shared" si="52"/>
        <v>0.898502431317863-0.000240776942121499i</v>
      </c>
      <c r="AN77" s="195" t="str">
        <f t="shared" si="53"/>
        <v>0.006+0.00273708044057648i</v>
      </c>
      <c r="AO77" s="195" t="str">
        <f t="shared" si="54"/>
        <v>2.84855485024423-0.21115244158203i</v>
      </c>
      <c r="AP77" s="195">
        <f t="shared" si="61"/>
        <v>9.1162895343056309</v>
      </c>
      <c r="AQ77" s="195">
        <f t="shared" si="62"/>
        <v>-4.2393629856897777</v>
      </c>
      <c r="AS77" s="195" t="str">
        <f t="shared" si="55"/>
        <v>0.921951149805179-0.000253508312023137i</v>
      </c>
      <c r="AT77" s="195" t="str">
        <f t="shared" si="56"/>
        <v>2.86330342866684-0.213142254616499i</v>
      </c>
      <c r="AU77" s="195">
        <f t="shared" si="63"/>
        <v>9.1613461922516262</v>
      </c>
      <c r="AV77" s="195">
        <f t="shared" si="64"/>
        <v>-4.257204987922778</v>
      </c>
    </row>
    <row r="78" spans="1:48" x14ac:dyDescent="0.2">
      <c r="A78" s="198" t="s">
        <v>65</v>
      </c>
      <c r="B78" s="201">
        <f>B12*B73*B11*B71-B69*B63*B70*B54</f>
        <v>59.422112071626522</v>
      </c>
      <c r="C78" s="200"/>
      <c r="D78" s="205"/>
      <c r="F78" s="195">
        <v>76</v>
      </c>
      <c r="G78" s="210">
        <f t="shared" si="33"/>
        <v>168.67197483080787</v>
      </c>
      <c r="H78" s="210">
        <f t="shared" si="34"/>
        <v>168.57881372500071</v>
      </c>
      <c r="I78" s="196">
        <f t="shared" si="35"/>
        <v>1</v>
      </c>
      <c r="J78" s="195">
        <f t="shared" si="57"/>
        <v>1</v>
      </c>
      <c r="K78" s="195">
        <f t="shared" si="58"/>
        <v>1</v>
      </c>
      <c r="L78" s="195">
        <f>10^('Small Signal'!F78/30)</f>
        <v>341.4548873833603</v>
      </c>
      <c r="M78" s="195" t="str">
        <f t="shared" si="36"/>
        <v>2145.42433147179i</v>
      </c>
      <c r="N78" s="195">
        <f>IF(D$32=1, IF(AND('Small Signal'!$B$62&gt;=1,FCCM=0),V78+0,S78+0), 0)</f>
        <v>9.1125837848274909</v>
      </c>
      <c r="O78" s="195">
        <f>IF(D$32=1, IF(AND('Small Signal'!$B$62&gt;=1,FCCM=0),W78,T78), 0)</f>
        <v>-4.5762973387255057</v>
      </c>
      <c r="P78" s="195">
        <f>IF(AND('Small Signal'!$B$62&gt;=1,FCCM=0),AF78+0,AC78+0)</f>
        <v>51.868816674403007</v>
      </c>
      <c r="Q78" s="195">
        <f>IF(AND('Small Signal'!$B$62&gt;=1,FCCM=0),AG78,AD78)</f>
        <v>105.95574972185409</v>
      </c>
      <c r="R78" s="195" t="str">
        <f>IMDIV(IMSUM('Small Signal'!$B$2*'Small Signal'!$B$39*'Small Signal'!$B$63,IMPRODUCT(M78,'Small Signal'!$B$2*'Small Signal'!$B$39*'Small Signal'!$B$63*'Small Signal'!$B$14*'Small Signal'!$B$15)),IMSUM(IMPRODUCT('Small Signal'!$B$12*'Small Signal'!$B$14*('Small Signal'!$B$15+'Small Signal'!$B$39),IMPOWER(M78,2)),IMSUM(IMPRODUCT(M78,('Small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2.6009776823619-0.193324405636647i</v>
      </c>
      <c r="S78" s="195">
        <f t="shared" si="59"/>
        <v>9.1125837848274909</v>
      </c>
      <c r="T78" s="195">
        <f t="shared" si="60"/>
        <v>-4.5762973387255057</v>
      </c>
      <c r="U78" s="195" t="str">
        <f>IMDIV(IMSUM('Small Signal'!$B$75,IMPRODUCT(M78,'Small Signal'!$B$76)),IMSUM(IMPRODUCT('Small Signal'!$B$79,IMPOWER(M78,2)),IMSUM(IMPRODUCT(M78,'Small Signal'!$B$78),'Small Signal'!$B$77)))</f>
        <v>3.05424121710937-0.174288647253584i</v>
      </c>
      <c r="V78" s="195">
        <f t="shared" si="37"/>
        <v>9.7121858605916156</v>
      </c>
      <c r="W78" s="195">
        <f t="shared" si="38"/>
        <v>-3.2660110990590518</v>
      </c>
      <c r="X78" s="195" t="str">
        <f>IMPRODUCT(IMDIV(IMSUM(IMPRODUCT(M78,'Small Signal'!$B$58*'Small Signal'!$B$6*'Small Signal'!$B$51*'Small Signal'!$B$7*'Small Signal'!$B$8),'Small Signal'!$B$58*'Small Signal'!$B$6*'Small Signal'!$B$51),IMSUM(IMSUM(IMPRODUCT(M78,('Small Signal'!$B$5+'Small Signal'!$B$6)*('Small Signal'!$B$57*'Small Signal'!$B$58)+'Small Signal'!$B$5*'Small Signal'!$B$58*('Small Signal'!$B$8+'Small Signal'!$B$9)+'Small Signal'!$B$6*'Small Signal'!$B$58*('Small Signal'!$B$8+'Small Signal'!$B$9)+'Small Signal'!$B$7*'Small Signal'!$B$8*('Small Signal'!$B$5+'Small Signal'!$B$6)),'Small Signal'!$B$6+'Small Signal'!$B$5),IMPRODUCT(IMPOWER(M78,2),'Small Signal'!$B$57*'Small Signal'!$B$58*'Small Signal'!$B$8*'Small Signal'!$B$7*('Small Signal'!$B$5+'Small Signal'!$B$6)+('Small Signal'!$B$5+'Small Signal'!$B$6)*('Small Signal'!$B$9*'Small Signal'!$B$8*'Small Signal'!$B$58*'Small Signal'!$B$7)))),-1)</f>
        <v>-47.9989367844124+128.683946265017i</v>
      </c>
      <c r="Y78" s="195">
        <f t="shared" si="39"/>
        <v>42.756232889575536</v>
      </c>
      <c r="Z78" s="195">
        <f t="shared" si="40"/>
        <v>110.53204706057959</v>
      </c>
      <c r="AA78" s="195" t="str">
        <f t="shared" si="41"/>
        <v>1.0000014394342+0.00133692738644708i</v>
      </c>
      <c r="AB78" s="195" t="str">
        <f t="shared" si="42"/>
        <v>-107.797200607539+377.032257320154i</v>
      </c>
      <c r="AC78" s="192">
        <f t="shared" si="43"/>
        <v>51.868816674403007</v>
      </c>
      <c r="AD78" s="195">
        <f t="shared" si="44"/>
        <v>105.95574972185409</v>
      </c>
      <c r="AE78" s="195" t="str">
        <f t="shared" si="45"/>
        <v>-124.172180186597+401.397482424668i</v>
      </c>
      <c r="AF78" s="192">
        <f t="shared" si="46"/>
        <v>52.468398484968546</v>
      </c>
      <c r="AG78" s="195">
        <f t="shared" si="47"/>
        <v>107.18943582066019</v>
      </c>
      <c r="AI78" s="195" t="str">
        <f t="shared" si="48"/>
        <v>0.002-2.33054129509659i</v>
      </c>
      <c r="AJ78" s="195">
        <f t="shared" si="49"/>
        <v>0.22500000000000001</v>
      </c>
      <c r="AK78" s="195" t="str">
        <f t="shared" si="50"/>
        <v>0.0375-4661.08259019318i</v>
      </c>
      <c r="AL78" s="195" t="str">
        <f t="shared" si="51"/>
        <v>0.222902012771282-0.021528833468967i</v>
      </c>
      <c r="AM78" s="195" t="str">
        <f t="shared" si="52"/>
        <v>0.89850242061267-0.000259984958666425i</v>
      </c>
      <c r="AN78" s="195" t="str">
        <f t="shared" si="53"/>
        <v>0.006+0.00295543147702747i</v>
      </c>
      <c r="AO78" s="195" t="str">
        <f t="shared" si="54"/>
        <v>2.84604939968352-0.227802734543913i</v>
      </c>
      <c r="AP78" s="195">
        <f t="shared" si="61"/>
        <v>9.1125837848274909</v>
      </c>
      <c r="AQ78" s="195">
        <f t="shared" si="62"/>
        <v>-4.5762973387255057</v>
      </c>
      <c r="AS78" s="195" t="str">
        <f t="shared" si="55"/>
        <v>0.921951138239783-0.000273731975332381i</v>
      </c>
      <c r="AT78" s="195" t="str">
        <f t="shared" si="56"/>
        <v>2.86076098032597-0.229947340546589i</v>
      </c>
      <c r="AU78" s="195">
        <f t="shared" si="63"/>
        <v>9.1576005869443282</v>
      </c>
      <c r="AV78" s="195">
        <f t="shared" si="64"/>
        <v>-4.5955420663302293</v>
      </c>
    </row>
    <row r="79" spans="1:48" x14ac:dyDescent="0.2">
      <c r="A79" s="198" t="s">
        <v>66</v>
      </c>
      <c r="B79" s="201">
        <f>B12*B73*B11*B72</f>
        <v>3.5705870777643696E-4</v>
      </c>
      <c r="C79" s="200"/>
      <c r="D79" s="205"/>
      <c r="F79" s="195">
        <v>77</v>
      </c>
      <c r="G79" s="210">
        <f t="shared" si="33"/>
        <v>168.67940669489931</v>
      </c>
      <c r="H79" s="210">
        <f t="shared" si="34"/>
        <v>168.57881372500071</v>
      </c>
      <c r="I79" s="196">
        <f t="shared" si="35"/>
        <v>1</v>
      </c>
      <c r="J79" s="195">
        <f t="shared" si="57"/>
        <v>1</v>
      </c>
      <c r="K79" s="195">
        <f t="shared" si="58"/>
        <v>1</v>
      </c>
      <c r="L79" s="195">
        <f>10^('Small Signal'!F79/30)</f>
        <v>368.69450645195781</v>
      </c>
      <c r="M79" s="195" t="str">
        <f t="shared" si="36"/>
        <v>2316.57590577677i</v>
      </c>
      <c r="N79" s="195">
        <f>IF(D$32=1, IF(AND('Small Signal'!$B$62&gt;=1,FCCM=0),V79+0,S79+0), 0)</f>
        <v>9.1082671760365876</v>
      </c>
      <c r="O79" s="195">
        <f>IF(D$32=1, IF(AND('Small Signal'!$B$62&gt;=1,FCCM=0),W79,T79), 0)</f>
        <v>-4.9397858029376778</v>
      </c>
      <c r="P79" s="195">
        <f>IF(AND('Small Signal'!$B$62&gt;=1,FCCM=0),AF79+0,AC79+0)</f>
        <v>51.258189443155089</v>
      </c>
      <c r="Q79" s="195">
        <f>IF(AND('Small Signal'!$B$62&gt;=1,FCCM=0),AG79,AD79)</f>
        <v>104.55351603817132</v>
      </c>
      <c r="R79" s="195" t="str">
        <f>IMDIV(IMSUM('Small Signal'!$B$2*'Small Signal'!$B$39*'Small Signal'!$B$63,IMPRODUCT(M79,'Small Signal'!$B$2*'Small Signal'!$B$39*'Small Signal'!$B$63*'Small Signal'!$B$14*'Small Signal'!$B$15)),IMSUM(IMPRODUCT('Small Signal'!$B$12*'Small Signal'!$B$14*('Small Signal'!$B$15+'Small Signal'!$B$39),IMPOWER(M79,2)),IMSUM(IMPRODUCT(M79,('Small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2.59872691987603-0.208575962519689i</v>
      </c>
      <c r="S79" s="195">
        <f t="shared" si="59"/>
        <v>9.1082671760365876</v>
      </c>
      <c r="T79" s="195">
        <f t="shared" si="60"/>
        <v>-4.9397858029376778</v>
      </c>
      <c r="U79" s="195" t="str">
        <f>IMDIV(IMSUM('Small Signal'!$B$75,IMPRODUCT(M79,'Small Signal'!$B$76)),IMSUM(IMPRODUCT('Small Signal'!$B$79,IMPOWER(M79,2)),IMSUM(IMPRODUCT(M79,'Small Signal'!$B$78),'Small Signal'!$B$77)))</f>
        <v>3.05294803652808-0.188134977709305i</v>
      </c>
      <c r="V79" s="195">
        <f t="shared" si="37"/>
        <v>9.7108494380678074</v>
      </c>
      <c r="W79" s="195">
        <f t="shared" si="38"/>
        <v>-3.5263378716421343</v>
      </c>
      <c r="X79" s="195" t="str">
        <f>IMPRODUCT(IMDIV(IMSUM(IMPRODUCT(M79,'Small Signal'!$B$58*'Small Signal'!$B$6*'Small Signal'!$B$51*'Small Signal'!$B$7*'Small Signal'!$B$8),'Small Signal'!$B$58*'Small Signal'!$B$6*'Small Signal'!$B$51),IMSUM(IMSUM(IMPRODUCT(M79,('Small Signal'!$B$5+'Small Signal'!$B$6)*('Small Signal'!$B$57*'Small Signal'!$B$58)+'Small Signal'!$B$5*'Small Signal'!$B$58*('Small Signal'!$B$8+'Small Signal'!$B$9)+'Small Signal'!$B$6*'Small Signal'!$B$58*('Small Signal'!$B$8+'Small Signal'!$B$9)+'Small Signal'!$B$7*'Small Signal'!$B$8*('Small Signal'!$B$5+'Small Signal'!$B$6)),'Small Signal'!$B$6+'Small Signal'!$B$5),IMPRODUCT(IMPOWER(M79,2),'Small Signal'!$B$57*'Small Signal'!$B$58*'Small Signal'!$B$8*'Small Signal'!$B$7*('Small Signal'!$B$5+'Small Signal'!$B$6)+('Small Signal'!$B$5+'Small Signal'!$B$6)*('Small Signal'!$B$9*'Small Signal'!$B$8*'Small Signal'!$B$58*'Small Signal'!$B$7)))),-1)</f>
        <v>-42.5668622867386+120.803878550721i</v>
      </c>
      <c r="Y79" s="195">
        <f t="shared" si="39"/>
        <v>42.149922267118519</v>
      </c>
      <c r="Z79" s="195">
        <f t="shared" si="40"/>
        <v>109.49330184110897</v>
      </c>
      <c r="AA79" s="195" t="str">
        <f t="shared" si="41"/>
        <v>1.00000167825674+0.00144358070807448i</v>
      </c>
      <c r="AB79" s="195" t="str">
        <f t="shared" si="42"/>
        <v>-91.8490377287346+353.790326871735i</v>
      </c>
      <c r="AC79" s="192">
        <f t="shared" si="43"/>
        <v>51.258189443155089</v>
      </c>
      <c r="AD79" s="195">
        <f t="shared" si="44"/>
        <v>104.55351603817132</v>
      </c>
      <c r="AE79" s="195" t="str">
        <f t="shared" si="45"/>
        <v>-107.226983641122+376.816279513871i</v>
      </c>
      <c r="AF79" s="192">
        <f t="shared" si="46"/>
        <v>51.860748077713119</v>
      </c>
      <c r="AG79" s="195">
        <f t="shared" si="47"/>
        <v>105.88425308377204</v>
      </c>
      <c r="AI79" s="195" t="str">
        <f t="shared" si="48"/>
        <v>0.002-2.15835794006648i</v>
      </c>
      <c r="AJ79" s="195">
        <f t="shared" si="49"/>
        <v>0.22500000000000001</v>
      </c>
      <c r="AK79" s="195" t="str">
        <f t="shared" si="50"/>
        <v>0.0375-4316.71588013297i</v>
      </c>
      <c r="AL79" s="195" t="str">
        <f t="shared" si="51"/>
        <v>0.222557738329738-0.0232100736460521i</v>
      </c>
      <c r="AM79" s="195" t="str">
        <f t="shared" si="52"/>
        <v>0.898502408131329-0.00028072529704717i</v>
      </c>
      <c r="AN79" s="195" t="str">
        <f t="shared" si="53"/>
        <v>0.006+0.00319120150285575i</v>
      </c>
      <c r="AO79" s="195" t="str">
        <f t="shared" si="54"/>
        <v>2.84313364270184-0.245731416261451i</v>
      </c>
      <c r="AP79" s="195">
        <f t="shared" si="61"/>
        <v>9.1082671760365876</v>
      </c>
      <c r="AQ79" s="195">
        <f t="shared" si="62"/>
        <v>-4.9397858029376778</v>
      </c>
      <c r="AS79" s="195" t="str">
        <f t="shared" si="55"/>
        <v>0.921951124755519-0.000295568983775876i</v>
      </c>
      <c r="AT79" s="195" t="str">
        <f t="shared" si="56"/>
        <v>2.85780222582818-0.248042156630223i</v>
      </c>
      <c r="AU79" s="195">
        <f t="shared" si="63"/>
        <v>9.1532375965020769</v>
      </c>
      <c r="AV79" s="195">
        <f t="shared" si="64"/>
        <v>-4.9605398667991585</v>
      </c>
    </row>
    <row r="80" spans="1:48" x14ac:dyDescent="0.2">
      <c r="A80" s="198"/>
      <c r="B80" s="200"/>
      <c r="C80" s="200"/>
      <c r="D80" s="205"/>
      <c r="F80" s="195">
        <v>78</v>
      </c>
      <c r="G80" s="210">
        <f t="shared" si="33"/>
        <v>168.68743141689515</v>
      </c>
      <c r="H80" s="210">
        <f t="shared" si="34"/>
        <v>168.57881372500071</v>
      </c>
      <c r="I80" s="196">
        <f t="shared" si="35"/>
        <v>1</v>
      </c>
      <c r="J80" s="195">
        <f t="shared" si="57"/>
        <v>1</v>
      </c>
      <c r="K80" s="195">
        <f t="shared" si="58"/>
        <v>1</v>
      </c>
      <c r="L80" s="195">
        <f>10^('Small Signal'!F80/30)</f>
        <v>398.10717055349761</v>
      </c>
      <c r="M80" s="195" t="str">
        <f t="shared" si="36"/>
        <v>2501.38112470457i</v>
      </c>
      <c r="N80" s="195">
        <f>IF(D$32=1, IF(AND('Small Signal'!$B$62&gt;=1,FCCM=0),V80+0,S80+0), 0)</f>
        <v>9.1032397762504171</v>
      </c>
      <c r="O80" s="195">
        <f>IF(D$32=1, IF(AND('Small Signal'!$B$62&gt;=1,FCCM=0),W80,T80), 0)</f>
        <v>-5.3318634333387269</v>
      </c>
      <c r="P80" s="195">
        <f>IF(AND('Small Signal'!$B$62&gt;=1,FCCM=0),AF80+0,AC80+0)</f>
        <v>50.639366179514489</v>
      </c>
      <c r="Q80" s="195">
        <f>IF(AND('Small Signal'!$B$62&gt;=1,FCCM=0),AG80,AD80)</f>
        <v>103.21670059557897</v>
      </c>
      <c r="R80" s="195" t="str">
        <f>IMDIV(IMSUM('Small Signal'!$B$2*'Small Signal'!$B$39*'Small Signal'!$B$63,IMPRODUCT(M80,'Small Signal'!$B$2*'Small Signal'!$B$39*'Small Signal'!$B$63*'Small Signal'!$B$14*'Small Signal'!$B$15)),IMSUM(IMPRODUCT('Small Signal'!$B$12*'Small Signal'!$B$14*('Small Signal'!$B$15+'Small Signal'!$B$39),IMPOWER(M80,2)),IMSUM(IMPRODUCT(M80,('Small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2.59610735596348-0.225000336748919i</v>
      </c>
      <c r="S80" s="195">
        <f t="shared" si="59"/>
        <v>9.1032397762504171</v>
      </c>
      <c r="T80" s="195">
        <f t="shared" si="60"/>
        <v>-5.3318634333387269</v>
      </c>
      <c r="U80" s="195" t="str">
        <f>IMDIV(IMSUM('Small Signal'!$B$75,IMPRODUCT(M80,'Small Signal'!$B$76)),IMSUM(IMPRODUCT('Small Signal'!$B$79,IMPOWER(M80,2)),IMSUM(IMPRODUCT(M80,'Small Signal'!$B$78),'Small Signal'!$B$77)))</f>
        <v>3.05144118564653-0.203071034343074i</v>
      </c>
      <c r="V80" s="195">
        <f t="shared" si="37"/>
        <v>9.7092916356179906</v>
      </c>
      <c r="W80" s="195">
        <f t="shared" si="38"/>
        <v>-3.8073754255888463</v>
      </c>
      <c r="X80" s="195" t="str">
        <f>IMPRODUCT(IMDIV(IMSUM(IMPRODUCT(M80,'Small Signal'!$B$58*'Small Signal'!$B$6*'Small Signal'!$B$51*'Small Signal'!$B$7*'Small Signal'!$B$8),'Small Signal'!$B$58*'Small Signal'!$B$6*'Small Signal'!$B$51),IMSUM(IMSUM(IMPRODUCT(M80,('Small Signal'!$B$5+'Small Signal'!$B$6)*('Small Signal'!$B$57*'Small Signal'!$B$58)+'Small Signal'!$B$5*'Small Signal'!$B$58*('Small Signal'!$B$8+'Small Signal'!$B$9)+'Small Signal'!$B$6*'Small Signal'!$B$58*('Small Signal'!$B$8+'Small Signal'!$B$9)+'Small Signal'!$B$7*'Small Signal'!$B$8*('Small Signal'!$B$5+'Small Signal'!$B$6)),'Small Signal'!$B$6+'Small Signal'!$B$5),IMPRODUCT(IMPOWER(M80,2),'Small Signal'!$B$57*'Small Signal'!$B$58*'Small Signal'!$B$8*'Small Signal'!$B$7*('Small Signal'!$B$5+'Small Signal'!$B$6)+('Small Signal'!$B$5+'Small Signal'!$B$6)*('Small Signal'!$B$9*'Small Signal'!$B$8*'Small Signal'!$B$58*'Small Signal'!$B$7)))),-1)</f>
        <v>-37.7882920770386+113.20477392102i</v>
      </c>
      <c r="Y80" s="195">
        <f t="shared" si="39"/>
        <v>41.536126403264063</v>
      </c>
      <c r="Z80" s="195">
        <f t="shared" si="40"/>
        <v>108.54856402891772</v>
      </c>
      <c r="AA80" s="195" t="str">
        <f t="shared" si="41"/>
        <v>1.00000195670327+0.00155874224385782i</v>
      </c>
      <c r="AB80" s="195" t="str">
        <f t="shared" si="42"/>
        <v>-77.823424671625+331.367379095295i</v>
      </c>
      <c r="AC80" s="192">
        <f t="shared" si="43"/>
        <v>50.639366179514489</v>
      </c>
      <c r="AD80" s="195">
        <f t="shared" si="44"/>
        <v>103.21670059557897</v>
      </c>
      <c r="AE80" s="195" t="str">
        <f t="shared" si="45"/>
        <v>-92.3201402464007+353.111417112547i</v>
      </c>
      <c r="AF80" s="192">
        <f t="shared" si="46"/>
        <v>51.245390491289335</v>
      </c>
      <c r="AG80" s="195">
        <f t="shared" si="47"/>
        <v>104.65187949848908</v>
      </c>
      <c r="AI80" s="195" t="str">
        <f t="shared" si="48"/>
        <v>0.002-1.99889571030106i</v>
      </c>
      <c r="AJ80" s="195">
        <f t="shared" si="49"/>
        <v>0.22500000000000001</v>
      </c>
      <c r="AK80" s="195" t="str">
        <f t="shared" si="50"/>
        <v>0.0375-3997.79142060212i</v>
      </c>
      <c r="AL80" s="195" t="str">
        <f t="shared" si="51"/>
        <v>0.222157696156405-0.0250162088498864i</v>
      </c>
      <c r="AM80" s="195" t="str">
        <f t="shared" si="52"/>
        <v>0.898502393579153-0.000303120198279257i</v>
      </c>
      <c r="AN80" s="195" t="str">
        <f t="shared" si="53"/>
        <v>0.006+0.0034457801207665i</v>
      </c>
      <c r="AO80" s="195" t="str">
        <f t="shared" si="54"/>
        <v>2.8397414163687-0.26502776138533i</v>
      </c>
      <c r="AP80" s="195">
        <f t="shared" si="61"/>
        <v>9.1032397762504171</v>
      </c>
      <c r="AQ80" s="195">
        <f t="shared" si="62"/>
        <v>-5.3318634333387269</v>
      </c>
      <c r="AS80" s="195" t="str">
        <f t="shared" si="55"/>
        <v>0.921951109034023-0.000319148041993388i</v>
      </c>
      <c r="AT80" s="195" t="str">
        <f t="shared" si="56"/>
        <v>2.85436005584462-0.267516628013114i</v>
      </c>
      <c r="AU80" s="195">
        <f t="shared" si="63"/>
        <v>9.1481562373629739</v>
      </c>
      <c r="AV80" s="195">
        <f t="shared" si="64"/>
        <v>-5.354240601371961</v>
      </c>
    </row>
    <row r="81" spans="1:48" x14ac:dyDescent="0.2">
      <c r="A81" s="198" t="s">
        <v>294</v>
      </c>
      <c r="B81" s="195">
        <f>1+Se_ss/Sn</f>
        <v>1.8508403361344539</v>
      </c>
      <c r="C81" s="200"/>
      <c r="D81" s="205"/>
      <c r="F81" s="195">
        <v>79</v>
      </c>
      <c r="G81" s="210">
        <f t="shared" si="33"/>
        <v>168.69609628688517</v>
      </c>
      <c r="H81" s="210">
        <f t="shared" si="34"/>
        <v>168.57881372500071</v>
      </c>
      <c r="I81" s="196">
        <f t="shared" si="35"/>
        <v>1</v>
      </c>
      <c r="J81" s="195">
        <f t="shared" si="57"/>
        <v>1</v>
      </c>
      <c r="K81" s="195">
        <f t="shared" si="58"/>
        <v>1</v>
      </c>
      <c r="L81" s="195">
        <f>10^('Small Signal'!F81/30)</f>
        <v>429.86623470822781</v>
      </c>
      <c r="M81" s="195" t="str">
        <f t="shared" si="36"/>
        <v>2700.92920997135i</v>
      </c>
      <c r="N81" s="195">
        <f>IF(D$32=1, IF(AND('Small Signal'!$B$62&gt;=1,FCCM=0),V81+0,S81+0), 0)</f>
        <v>9.0973855772258219</v>
      </c>
      <c r="O81" s="195">
        <f>IF(D$32=1, IF(AND('Small Signal'!$B$62&gt;=1,FCCM=0),W81,T81), 0)</f>
        <v>-5.7547064404799428</v>
      </c>
      <c r="P81" s="195">
        <f>IF(AND('Small Signal'!$B$62&gt;=1,FCCM=0),AF81+0,AC81+0)</f>
        <v>50.013213340930974</v>
      </c>
      <c r="Q81" s="195">
        <f>IF(AND('Small Signal'!$B$62&gt;=1,FCCM=0),AG81,AD81)</f>
        <v>101.94145039896523</v>
      </c>
      <c r="R81" s="195" t="str">
        <f>IMDIV(IMSUM('Small Signal'!$B$2*'Small Signal'!$B$39*'Small Signal'!$B$63,IMPRODUCT(M81,'Small Signal'!$B$2*'Small Signal'!$B$39*'Small Signal'!$B$63*'Small Signal'!$B$14*'Small Signal'!$B$15)),IMSUM(IMPRODUCT('Small Signal'!$B$12*'Small Signal'!$B$14*('Small Signal'!$B$15+'Small Signal'!$B$39),IMPOWER(M81,2)),IMSUM(IMPRODUCT(M81,('Small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2.59305944780064-0.242679904925833i</v>
      </c>
      <c r="S81" s="195">
        <f t="shared" si="59"/>
        <v>9.0973855772258219</v>
      </c>
      <c r="T81" s="195">
        <f t="shared" si="60"/>
        <v>-5.7547064404799428</v>
      </c>
      <c r="U81" s="195" t="str">
        <f>IMDIV(IMSUM('Small Signal'!$B$75,IMPRODUCT(M81,'Small Signal'!$B$76)),IMSUM(IMPRODUCT('Small Signal'!$B$79,IMPOWER(M81,2)),IMSUM(IMPRODUCT(M81,'Small Signal'!$B$78),'Small Signal'!$B$77)))</f>
        <v>3.04968553115884-0.21917991964926i</v>
      </c>
      <c r="V81" s="195">
        <f t="shared" si="37"/>
        <v>9.7074758492885032</v>
      </c>
      <c r="W81" s="195">
        <f t="shared" si="38"/>
        <v>-4.1107612900612507</v>
      </c>
      <c r="X81" s="195" t="str">
        <f>IMPRODUCT(IMDIV(IMSUM(IMPRODUCT(M81,'Small Signal'!$B$58*'Small Signal'!$B$6*'Small Signal'!$B$51*'Small Signal'!$B$7*'Small Signal'!$B$8),'Small Signal'!$B$58*'Small Signal'!$B$6*'Small Signal'!$B$51),IMSUM(IMSUM(IMPRODUCT(M81,('Small Signal'!$B$5+'Small Signal'!$B$6)*('Small Signal'!$B$57*'Small Signal'!$B$58)+'Small Signal'!$B$5*'Small Signal'!$B$58*('Small Signal'!$B$8+'Small Signal'!$B$9)+'Small Signal'!$B$6*'Small Signal'!$B$58*('Small Signal'!$B$8+'Small Signal'!$B$9)+'Small Signal'!$B$7*'Small Signal'!$B$8*('Small Signal'!$B$5+'Small Signal'!$B$6)),'Small Signal'!$B$6+'Small Signal'!$B$5),IMPRODUCT(IMPOWER(M81,2),'Small Signal'!$B$57*'Small Signal'!$B$58*'Small Signal'!$B$8*'Small Signal'!$B$7*('Small Signal'!$B$5+'Small Signal'!$B$6)+('Small Signal'!$B$5+'Small Signal'!$B$6)*('Small Signal'!$B$9*'Small Signal'!$B$8*'Small Signal'!$B$58*'Small Signal'!$B$7)))),-1)</f>
        <v>-33.5986409014588+105.918111719915i</v>
      </c>
      <c r="Y81" s="195">
        <f t="shared" si="39"/>
        <v>40.915827763705146</v>
      </c>
      <c r="Z81" s="195">
        <f t="shared" si="40"/>
        <v>107.69615683944519</v>
      </c>
      <c r="AA81" s="195" t="str">
        <f t="shared" si="41"/>
        <v>1.00000228134792+0.00168309071934854i</v>
      </c>
      <c r="AB81" s="195" t="str">
        <f t="shared" si="42"/>
        <v>-65.5309415618559+309.855462146188i</v>
      </c>
      <c r="AC81" s="192">
        <f t="shared" si="43"/>
        <v>50.013213340930974</v>
      </c>
      <c r="AD81" s="195">
        <f t="shared" si="44"/>
        <v>101.94145039896523</v>
      </c>
      <c r="AE81" s="195" t="str">
        <f t="shared" si="45"/>
        <v>-79.2501658076082+330.381080212996i</v>
      </c>
      <c r="AF81" s="192">
        <f t="shared" si="46"/>
        <v>50.623271494883902</v>
      </c>
      <c r="AG81" s="195">
        <f t="shared" si="47"/>
        <v>103.4889618656851</v>
      </c>
      <c r="AI81" s="195" t="str">
        <f t="shared" si="48"/>
        <v>0.002-1.85121475288611i</v>
      </c>
      <c r="AJ81" s="195">
        <f t="shared" si="49"/>
        <v>0.22500000000000001</v>
      </c>
      <c r="AK81" s="195" t="str">
        <f t="shared" si="50"/>
        <v>0.0375-3702.42950577223i</v>
      </c>
      <c r="AL81" s="195" t="str">
        <f t="shared" si="51"/>
        <v>0.221693109499707-0.0269548843531846i</v>
      </c>
      <c r="AM81" s="195" t="str">
        <f t="shared" si="52"/>
        <v>0.898502376612563-0.000327301655121293i</v>
      </c>
      <c r="AN81" s="195" t="str">
        <f t="shared" si="53"/>
        <v>0.006+0.00372066778924625i</v>
      </c>
      <c r="AO81" s="195" t="str">
        <f t="shared" si="54"/>
        <v>2.8357962550774-0.285784972172682i</v>
      </c>
      <c r="AP81" s="195">
        <f t="shared" si="61"/>
        <v>9.0973855772258219</v>
      </c>
      <c r="AQ81" s="195">
        <f t="shared" si="62"/>
        <v>-5.7547064404799428</v>
      </c>
      <c r="AS81" s="195" t="str">
        <f t="shared" si="55"/>
        <v>0.921951090704108-0.0003446081219986i</v>
      </c>
      <c r="AT81" s="195" t="str">
        <f t="shared" si="56"/>
        <v>2.85035691850774-0.288464596501169i</v>
      </c>
      <c r="AU81" s="195">
        <f t="shared" si="63"/>
        <v>9.1422392857626669</v>
      </c>
      <c r="AV81" s="195">
        <f t="shared" si="64"/>
        <v>-5.7788278698671904</v>
      </c>
    </row>
    <row r="82" spans="1:48" x14ac:dyDescent="0.2">
      <c r="A82" s="198" t="s">
        <v>295</v>
      </c>
      <c r="B82" s="195">
        <f>1/(Co_ss*Ro)+1/(fsw_ss*Lo_ss*Co_ss)*(mc*(1-Vo_ss/Vi_ss)-0.5)</f>
        <v>27787.037037037036</v>
      </c>
      <c r="C82" s="200"/>
      <c r="D82" s="205"/>
      <c r="F82" s="195">
        <v>80</v>
      </c>
      <c r="G82" s="210">
        <f t="shared" si="33"/>
        <v>168.70545236617565</v>
      </c>
      <c r="H82" s="210">
        <f t="shared" si="34"/>
        <v>168.57881372500071</v>
      </c>
      <c r="I82" s="196">
        <f t="shared" si="35"/>
        <v>1</v>
      </c>
      <c r="J82" s="195">
        <f t="shared" si="57"/>
        <v>1</v>
      </c>
      <c r="K82" s="195">
        <f t="shared" si="58"/>
        <v>1</v>
      </c>
      <c r="L82" s="195">
        <f>10^('Small Signal'!F82/30)</f>
        <v>464.15888336127819</v>
      </c>
      <c r="M82" s="195" t="str">
        <f t="shared" si="36"/>
        <v>2916.39627613247i</v>
      </c>
      <c r="N82" s="195">
        <f>IF(D$32=1, IF(AND('Small Signal'!$B$62&gt;=1,FCCM=0),V82+0,S82+0), 0)</f>
        <v>9.0905700041601989</v>
      </c>
      <c r="O82" s="195">
        <f>IF(D$32=1, IF(AND('Small Signal'!$B$62&gt;=1,FCCM=0),W82,T82), 0)</f>
        <v>-6.2106381383197959</v>
      </c>
      <c r="P82" s="195">
        <f>IF(AND('Small Signal'!$B$62&gt;=1,FCCM=0),AF82+0,AC82+0)</f>
        <v>49.380489528664199</v>
      </c>
      <c r="Q82" s="195">
        <f>IF(AND('Small Signal'!$B$62&gt;=1,FCCM=0),AG82,AD82)</f>
        <v>100.72360147152173</v>
      </c>
      <c r="R82" s="195" t="str">
        <f>IMDIV(IMSUM('Small Signal'!$B$2*'Small Signal'!$B$39*'Small Signal'!$B$63,IMPRODUCT(M82,'Small Signal'!$B$2*'Small Signal'!$B$39*'Small Signal'!$B$63*'Small Signal'!$B$14*'Small Signal'!$B$15)),IMSUM(IMPRODUCT('Small Signal'!$B$12*'Small Signal'!$B$14*('Small Signal'!$B$15+'Small Signal'!$B$39),IMPOWER(M82,2)),IMSUM(IMPRODUCT(M82,('Small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2.58951435483506-0.261700800387063i</v>
      </c>
      <c r="S82" s="195">
        <f t="shared" si="59"/>
        <v>9.0905700041601989</v>
      </c>
      <c r="T82" s="195">
        <f t="shared" si="60"/>
        <v>-6.2106381383197959</v>
      </c>
      <c r="U82" s="195" t="str">
        <f>IMDIV(IMSUM('Small Signal'!$B$75,IMPRODUCT(M82,'Small Signal'!$B$76)),IMSUM(IMPRODUCT('Small Signal'!$B$79,IMPOWER(M82,2)),IMSUM(IMPRODUCT(M82,'Small Signal'!$B$78),'Small Signal'!$B$77)))</f>
        <v>3.04764022417316-0.236550382594244i</v>
      </c>
      <c r="V82" s="195">
        <f t="shared" si="37"/>
        <v>9.7053594471869467</v>
      </c>
      <c r="W82" s="195">
        <f t="shared" si="38"/>
        <v>-4.438259845785451</v>
      </c>
      <c r="X82" s="195" t="str">
        <f>IMPRODUCT(IMDIV(IMSUM(IMPRODUCT(M82,'Small Signal'!$B$58*'Small Signal'!$B$6*'Small Signal'!$B$51*'Small Signal'!$B$7*'Small Signal'!$B$8),'Small Signal'!$B$58*'Small Signal'!$B$6*'Small Signal'!$B$51),IMSUM(IMSUM(IMPRODUCT(M82,('Small Signal'!$B$5+'Small Signal'!$B$6)*('Small Signal'!$B$57*'Small Signal'!$B$58)+'Small Signal'!$B$5*'Small Signal'!$B$58*('Small Signal'!$B$8+'Small Signal'!$B$9)+'Small Signal'!$B$6*'Small Signal'!$B$58*('Small Signal'!$B$8+'Small Signal'!$B$9)+'Small Signal'!$B$7*'Small Signal'!$B$8*('Small Signal'!$B$5+'Small Signal'!$B$6)),'Small Signal'!$B$6+'Small Signal'!$B$5),IMPRODUCT(IMPOWER(M82,2),'Small Signal'!$B$57*'Small Signal'!$B$58*'Small Signal'!$B$8*'Small Signal'!$B$7*('Small Signal'!$B$5+'Small Signal'!$B$6)+('Small Signal'!$B$5+'Small Signal'!$B$6)*('Small Signal'!$B$9*'Small Signal'!$B$8*'Small Signal'!$B$58*'Small Signal'!$B$7)))),-1)</f>
        <v>-29.9360860637909+98.9650911720824i</v>
      </c>
      <c r="Y82" s="195">
        <f t="shared" si="39"/>
        <v>40.289919524504</v>
      </c>
      <c r="Z82" s="195">
        <f t="shared" si="40"/>
        <v>106.93423960984153</v>
      </c>
      <c r="AA82" s="195" t="str">
        <f t="shared" si="41"/>
        <v>1.00000265985559+0.00181735900071948i</v>
      </c>
      <c r="AB82" s="195" t="str">
        <f t="shared" si="42"/>
        <v>-54.7903418664504+289.316399116614i</v>
      </c>
      <c r="AC82" s="192">
        <f t="shared" si="43"/>
        <v>49.380489528664199</v>
      </c>
      <c r="AD82" s="195">
        <f t="shared" si="44"/>
        <v>100.72360147152173</v>
      </c>
      <c r="AE82" s="195" t="str">
        <f t="shared" si="45"/>
        <v>-67.8241898620884+308.691385256766i</v>
      </c>
      <c r="AF82" s="192">
        <f t="shared" si="46"/>
        <v>49.995241524758598</v>
      </c>
      <c r="AG82" s="195">
        <f t="shared" si="47"/>
        <v>102.39185315505233</v>
      </c>
      <c r="AI82" s="195" t="str">
        <f t="shared" si="48"/>
        <v>0.002-1.71444465243614i</v>
      </c>
      <c r="AJ82" s="195">
        <f t="shared" si="49"/>
        <v>0.22500000000000001</v>
      </c>
      <c r="AK82" s="195" t="str">
        <f t="shared" si="50"/>
        <v>0.0375-3428.88930487229i</v>
      </c>
      <c r="AL82" s="195" t="str">
        <f t="shared" si="51"/>
        <v>0.221153910685249-0.029033787264405i</v>
      </c>
      <c r="AM82" s="195" t="str">
        <f t="shared" si="52"/>
        <v>0.898502356830975-0.000353412190007937i</v>
      </c>
      <c r="AN82" s="195" t="str">
        <f t="shared" si="53"/>
        <v>0.006+0.00401748466610085i</v>
      </c>
      <c r="AO82" s="195" t="str">
        <f t="shared" si="54"/>
        <v>2.83120991635545-0.308099708843349i</v>
      </c>
      <c r="AP82" s="195">
        <f t="shared" si="61"/>
        <v>9.0905700041601989</v>
      </c>
      <c r="AQ82" s="195">
        <f t="shared" si="62"/>
        <v>-6.2106381383197959</v>
      </c>
      <c r="AS82" s="195" t="str">
        <f t="shared" si="55"/>
        <v>0.921951069332995-0.000372099282245108i</v>
      </c>
      <c r="AT82" s="195" t="str">
        <f t="shared" si="56"/>
        <v>2.84570332791631-0.31098333513319i</v>
      </c>
      <c r="AU82" s="195">
        <f t="shared" si="63"/>
        <v>9.1353507643770122</v>
      </c>
      <c r="AV82" s="195">
        <f t="shared" si="64"/>
        <v>-6.2366325432774667</v>
      </c>
    </row>
    <row r="83" spans="1:48" x14ac:dyDescent="0.2">
      <c r="A83" s="197" t="s">
        <v>300</v>
      </c>
      <c r="B83" s="195">
        <f>-Ri/(Lo_ss*q_2*w_2)</f>
        <v>-6.9560185185185183E-2</v>
      </c>
      <c r="F83" s="195">
        <v>81</v>
      </c>
      <c r="G83" s="210">
        <f t="shared" si="33"/>
        <v>168.71555478778694</v>
      </c>
      <c r="H83" s="210">
        <f t="shared" si="34"/>
        <v>168.57881372500071</v>
      </c>
      <c r="I83" s="196">
        <f t="shared" si="35"/>
        <v>1</v>
      </c>
      <c r="J83" s="195">
        <f t="shared" si="57"/>
        <v>1</v>
      </c>
      <c r="K83" s="195">
        <f t="shared" si="58"/>
        <v>1</v>
      </c>
      <c r="L83" s="195">
        <f>10^('Small Signal'!F83/30)</f>
        <v>501.18723362727269</v>
      </c>
      <c r="M83" s="195" t="str">
        <f t="shared" si="36"/>
        <v>3149.05226247286i</v>
      </c>
      <c r="N83" s="195">
        <f>IF(D$32=1, IF(AND('Small Signal'!$B$62&gt;=1,FCCM=0),V83+0,S83+0), 0)</f>
        <v>9.0826370742163469</v>
      </c>
      <c r="O83" s="195">
        <f>IF(D$32=1, IF(AND('Small Signal'!$B$62&gt;=1,FCCM=0),W83,T83), 0)</f>
        <v>-6.7021340704954806</v>
      </c>
      <c r="P83" s="195">
        <f>IF(AND('Small Signal'!$B$62&gt;=1,FCCM=0),AF83+0,AC83+0)</f>
        <v>48.741848684796103</v>
      </c>
      <c r="Q83" s="195">
        <f>IF(AND('Small Signal'!$B$62&gt;=1,FCCM=0),AG83,AD83)</f>
        <v>99.558774760609367</v>
      </c>
      <c r="R83" s="195" t="str">
        <f>IMDIV(IMSUM('Small Signal'!$B$2*'Small Signal'!$B$39*'Small Signal'!$B$63,IMPRODUCT(M83,'Small Signal'!$B$2*'Small Signal'!$B$39*'Small Signal'!$B$63*'Small Signal'!$B$14*'Small Signal'!$B$15)),IMSUM(IMPRODUCT('Small Signal'!$B$12*'Small Signal'!$B$14*('Small Signal'!$B$15+'Small Signal'!$B$39),IMPOWER(M83,2)),IMSUM(IMPRODUCT(M83,('Small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2.58539259903417-0.28215252126754i</v>
      </c>
      <c r="S83" s="195">
        <f t="shared" si="59"/>
        <v>9.0826370742163469</v>
      </c>
      <c r="T83" s="195">
        <f t="shared" si="60"/>
        <v>-6.7021340704954806</v>
      </c>
      <c r="U83" s="195" t="str">
        <f>IMDIV(IMSUM('Small Signal'!$B$75,IMPRODUCT(M83,'Small Signal'!$B$76)),IMSUM(IMPRODUCT('Small Signal'!$B$79,IMPOWER(M83,2)),IMSUM(IMPRODUCT(M83,'Small Signal'!$B$78),'Small Signal'!$B$77)))</f>
        <v>3.04525779235085-0.255277018617414i</v>
      </c>
      <c r="V83" s="195">
        <f t="shared" si="37"/>
        <v>9.7028927855079754</v>
      </c>
      <c r="W83" s="195">
        <f t="shared" si="38"/>
        <v>-4.7917714734449701</v>
      </c>
      <c r="X83" s="195" t="str">
        <f>IMPRODUCT(IMDIV(IMSUM(IMPRODUCT(M83,'Small Signal'!$B$58*'Small Signal'!$B$6*'Small Signal'!$B$51*'Small Signal'!$B$7*'Small Signal'!$B$8),'Small Signal'!$B$58*'Small Signal'!$B$6*'Small Signal'!$B$51),IMSUM(IMSUM(IMPRODUCT(M83,('Small Signal'!$B$5+'Small Signal'!$B$6)*('Small Signal'!$B$57*'Small Signal'!$B$58)+'Small Signal'!$B$5*'Small Signal'!$B$58*('Small Signal'!$B$8+'Small Signal'!$B$9)+'Small Signal'!$B$6*'Small Signal'!$B$58*('Small Signal'!$B$8+'Small Signal'!$B$9)+'Small Signal'!$B$7*'Small Signal'!$B$8*('Small Signal'!$B$5+'Small Signal'!$B$6)),'Small Signal'!$B$6+'Small Signal'!$B$5),IMPRODUCT(IMPOWER(M83,2),'Small Signal'!$B$57*'Small Signal'!$B$58*'Small Signal'!$B$8*'Small Signal'!$B$7*('Small Signal'!$B$5+'Small Signal'!$B$6)+('Small Signal'!$B$5+'Small Signal'!$B$6)*('Small Signal'!$B$9*'Small Signal'!$B$8*'Small Signal'!$B$58*'Small Signal'!$B$7)))),-1)</f>
        <v>-26.7425132796522+92.358260574522i</v>
      </c>
      <c r="Y83" s="195">
        <f t="shared" si="39"/>
        <v>39.659211610579739</v>
      </c>
      <c r="Z83" s="195">
        <f t="shared" si="40"/>
        <v>106.26090883110484</v>
      </c>
      <c r="AA83" s="195" t="str">
        <f t="shared" si="41"/>
        <v>1.00000310116283+0.0019623384125939i</v>
      </c>
      <c r="AB83" s="195" t="str">
        <f t="shared" si="42"/>
        <v>-45.4313394961395+269.78657853496i</v>
      </c>
      <c r="AC83" s="192">
        <f t="shared" si="43"/>
        <v>48.741848684796103</v>
      </c>
      <c r="AD83" s="195">
        <f t="shared" si="44"/>
        <v>99.558774760609367</v>
      </c>
      <c r="AE83" s="195" t="str">
        <f t="shared" si="45"/>
        <v>-57.8609055477527+288.0814617629i</v>
      </c>
      <c r="AF83" s="192">
        <f t="shared" si="46"/>
        <v>49.362060736216826</v>
      </c>
      <c r="AG83" s="195">
        <f t="shared" si="47"/>
        <v>101.35670414163317</v>
      </c>
      <c r="AI83" s="195" t="str">
        <f t="shared" si="48"/>
        <v>0.002-1.58777930096138i</v>
      </c>
      <c r="AJ83" s="195">
        <f t="shared" si="49"/>
        <v>0.22500000000000001</v>
      </c>
      <c r="AK83" s="195" t="str">
        <f t="shared" si="50"/>
        <v>0.0375-3175.55860192275i</v>
      </c>
      <c r="AL83" s="195" t="str">
        <f t="shared" si="51"/>
        <v>0.220528583059649-0.0312605172386126i</v>
      </c>
      <c r="AM83" s="195" t="str">
        <f t="shared" si="52"/>
        <v>0.898502333767336-0.000381605695038983i</v>
      </c>
      <c r="AN83" s="195" t="str">
        <f t="shared" si="53"/>
        <v>0.006+0.00433798015748812i</v>
      </c>
      <c r="AO83" s="195" t="str">
        <f t="shared" si="54"/>
        <v>2.82588074243964-0.332071399694327i</v>
      </c>
      <c r="AP83" s="195">
        <f t="shared" si="61"/>
        <v>9.0826370742163469</v>
      </c>
      <c r="AQ83" s="195">
        <f t="shared" si="62"/>
        <v>-6.7021340704954806</v>
      </c>
      <c r="AS83" s="195" t="str">
        <f t="shared" si="55"/>
        <v>0.921951044416106-0.00040178355202953i</v>
      </c>
      <c r="AT83" s="195" t="str">
        <f t="shared" si="56"/>
        <v>2.8402962075029-0.335172837999709i</v>
      </c>
      <c r="AU83" s="195">
        <f t="shared" si="63"/>
        <v>9.1273330749071953</v>
      </c>
      <c r="AV83" s="195">
        <f t="shared" si="64"/>
        <v>-6.7301378010657071</v>
      </c>
    </row>
    <row r="84" spans="1:48" x14ac:dyDescent="0.2">
      <c r="A84" s="197" t="s">
        <v>297</v>
      </c>
      <c r="B84" s="195">
        <f>(1-Ro/Ri*k_2)/((Ro+ESR_ss)*Co_ss-Ro*ESR_ss*Co_ss*k_2/Ri)</f>
        <v>27481.584316540964</v>
      </c>
      <c r="F84" s="195">
        <v>82</v>
      </c>
      <c r="G84" s="210">
        <f t="shared" si="33"/>
        <v>168.72646308083245</v>
      </c>
      <c r="H84" s="210">
        <f t="shared" si="34"/>
        <v>168.57881372500071</v>
      </c>
      <c r="I84" s="196">
        <f t="shared" si="35"/>
        <v>1</v>
      </c>
      <c r="J84" s="195">
        <f t="shared" si="57"/>
        <v>1</v>
      </c>
      <c r="K84" s="195">
        <f t="shared" si="58"/>
        <v>1</v>
      </c>
      <c r="L84" s="195">
        <f>10^('Small Signal'!F84/30)</f>
        <v>541.16952654646434</v>
      </c>
      <c r="M84" s="195" t="str">
        <f t="shared" si="36"/>
        <v>3400.26841789008i</v>
      </c>
      <c r="N84" s="195">
        <f>IF(D$32=1, IF(AND('Small Signal'!$B$62&gt;=1,FCCM=0),V84+0,S84+0), 0)</f>
        <v>9.0734061662257623</v>
      </c>
      <c r="O84" s="195">
        <f>IF(D$32=1, IF(AND('Small Signal'!$B$62&gt;=1,FCCM=0),W84,T84), 0)</f>
        <v>-7.2318259497376332</v>
      </c>
      <c r="P84" s="195">
        <f>IF(AND('Small Signal'!$B$62&gt;=1,FCCM=0),AF84+0,AC84+0)</f>
        <v>48.097844210745933</v>
      </c>
      <c r="Q84" s="195">
        <f>IF(AND('Small Signal'!$B$62&gt;=1,FCCM=0),AG84,AD84)</f>
        <v>98.44245754711271</v>
      </c>
      <c r="R84" s="195" t="str">
        <f>IMDIV(IMSUM('Small Signal'!$B$2*'Small Signal'!$B$39*'Small Signal'!$B$63,IMPRODUCT(M84,'Small Signal'!$B$2*'Small Signal'!$B$39*'Small Signal'!$B$63*'Small Signal'!$B$14*'Small Signal'!$B$15)),IMSUM(IMPRODUCT('Small Signal'!$B$12*'Small Signal'!$B$14*('Small Signal'!$B$15+'Small Signal'!$B$39),IMPOWER(M84,2)),IMSUM(IMPRODUCT(M84,('Small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2.58060257232137-0.304127345072172i</v>
      </c>
      <c r="S84" s="195">
        <f t="shared" si="59"/>
        <v>9.0734061662257623</v>
      </c>
      <c r="T84" s="195">
        <f t="shared" si="60"/>
        <v>-7.2318259497376332</v>
      </c>
      <c r="U84" s="195" t="str">
        <f>IMDIV(IMSUM('Small Signal'!$B$75,IMPRODUCT(M84,'Small Signal'!$B$76)),IMSUM(IMPRODUCT('Small Signal'!$B$79,IMPOWER(M84,2)),IMSUM(IMPRODUCT(M84,'Small Signal'!$B$78),'Small Signal'!$B$77)))</f>
        <v>3.04248309573939-0.275460422633819i</v>
      </c>
      <c r="V84" s="195">
        <f t="shared" si="37"/>
        <v>9.7000180670543585</v>
      </c>
      <c r="W84" s="195">
        <f t="shared" si="38"/>
        <v>-5.1733421842270841</v>
      </c>
      <c r="X84" s="195" t="str">
        <f>IMPRODUCT(IMDIV(IMSUM(IMPRODUCT(M84,'Small Signal'!$B$58*'Small Signal'!$B$6*'Small Signal'!$B$51*'Small Signal'!$B$7*'Small Signal'!$B$8),'Small Signal'!$B$58*'Small Signal'!$B$6*'Small Signal'!$B$51),IMSUM(IMSUM(IMPRODUCT(M84,('Small Signal'!$B$5+'Small Signal'!$B$6)*('Small Signal'!$B$57*'Small Signal'!$B$58)+'Small Signal'!$B$5*'Small Signal'!$B$58*('Small Signal'!$B$8+'Small Signal'!$B$9)+'Small Signal'!$B$6*'Small Signal'!$B$58*('Small Signal'!$B$8+'Small Signal'!$B$9)+'Small Signal'!$B$7*'Small Signal'!$B$8*('Small Signal'!$B$5+'Small Signal'!$B$6)),'Small Signal'!$B$6+'Small Signal'!$B$5),IMPRODUCT(IMPOWER(M84,2),'Small Signal'!$B$57*'Small Signal'!$B$58*'Small Signal'!$B$8*'Small Signal'!$B$7*('Small Signal'!$B$5+'Small Signal'!$B$6)+('Small Signal'!$B$5+'Small Signal'!$B$6)*('Small Signal'!$B$9*'Small Signal'!$B$8*'Small Signal'!$B$58*'Small Signal'!$B$7)))),-1)</f>
        <v>-23.9640903259473+86.1030456807893i</v>
      </c>
      <c r="Y84" s="195">
        <f t="shared" si="39"/>
        <v>39.024438044520174</v>
      </c>
      <c r="Z84" s="195">
        <f t="shared" si="40"/>
        <v>105.67428349685034</v>
      </c>
      <c r="AA84" s="195" t="str">
        <f t="shared" si="41"/>
        <v>1.00000361568891+0.0021188834000068i</v>
      </c>
      <c r="AB84" s="195" t="str">
        <f t="shared" si="42"/>
        <v>-37.2963029782989+251.281449945539i</v>
      </c>
      <c r="AC84" s="192">
        <f t="shared" si="43"/>
        <v>48.097844210745933</v>
      </c>
      <c r="AD84" s="195">
        <f t="shared" si="44"/>
        <v>98.44245754711271</v>
      </c>
      <c r="AE84" s="195" t="str">
        <f t="shared" si="45"/>
        <v>-49.1923583681773+268.568219424698i</v>
      </c>
      <c r="AF84" s="192">
        <f t="shared" si="46"/>
        <v>48.724405207965795</v>
      </c>
      <c r="AG84" s="195">
        <f t="shared" si="47"/>
        <v>100.37953885716071</v>
      </c>
      <c r="AI84" s="195" t="str">
        <f t="shared" si="48"/>
        <v>0.002-1.47047214675557i</v>
      </c>
      <c r="AJ84" s="195">
        <f t="shared" si="49"/>
        <v>0.22500000000000001</v>
      </c>
      <c r="AK84" s="195" t="str">
        <f t="shared" si="50"/>
        <v>0.0375-2940.94429351114i</v>
      </c>
      <c r="AL84" s="195" t="str">
        <f t="shared" si="51"/>
        <v>0.219803995057149-0.0336424188900339i</v>
      </c>
      <c r="AM84" s="195" t="str">
        <f t="shared" si="52"/>
        <v>0.898502306877107-0.000412048338974183i</v>
      </c>
      <c r="AN84" s="195" t="str">
        <f t="shared" si="53"/>
        <v>0.006+0.00468404322872613i</v>
      </c>
      <c r="AO84" s="195" t="str">
        <f t="shared" si="54"/>
        <v>2.8196918568971-0.357801274940523i</v>
      </c>
      <c r="AP84" s="195">
        <f t="shared" si="61"/>
        <v>9.0734061662257623</v>
      </c>
      <c r="AQ84" s="195">
        <f t="shared" si="62"/>
        <v>-7.2318259497376332</v>
      </c>
      <c r="AS84" s="195" t="str">
        <f t="shared" si="55"/>
        <v>0.921951015365149-0.00043383588644299i</v>
      </c>
      <c r="AT84" s="195" t="str">
        <f t="shared" si="56"/>
        <v>2.83401706801969-0.361134828338544i</v>
      </c>
      <c r="AU84" s="195">
        <f t="shared" si="63"/>
        <v>9.1180037392629796</v>
      </c>
      <c r="AV84" s="195">
        <f t="shared" si="64"/>
        <v>-7.2619829510752698</v>
      </c>
    </row>
    <row r="85" spans="1:48" x14ac:dyDescent="0.2">
      <c r="F85" s="195">
        <v>83</v>
      </c>
      <c r="G85" s="210">
        <f t="shared" si="33"/>
        <v>168.73824152066049</v>
      </c>
      <c r="H85" s="210">
        <f t="shared" si="34"/>
        <v>168.57881372500071</v>
      </c>
      <c r="I85" s="196">
        <f t="shared" si="35"/>
        <v>1</v>
      </c>
      <c r="J85" s="195">
        <f t="shared" si="57"/>
        <v>1</v>
      </c>
      <c r="K85" s="195">
        <f t="shared" si="58"/>
        <v>1</v>
      </c>
      <c r="L85" s="195">
        <f>10^('Small Signal'!F85/30)</f>
        <v>584.34141337351787</v>
      </c>
      <c r="M85" s="195" t="str">
        <f t="shared" si="36"/>
        <v>3671.52538288504i</v>
      </c>
      <c r="N85" s="195">
        <f>IF(D$32=1, IF(AND('Small Signal'!$B$62&gt;=1,FCCM=0),V85+0,S85+0), 0)</f>
        <v>9.0626683649055249</v>
      </c>
      <c r="O85" s="195">
        <f>IF(D$32=1, IF(AND('Small Signal'!$B$62&gt;=1,FCCM=0),W85,T85), 0)</f>
        <v>-7.8025039542862054</v>
      </c>
      <c r="P85" s="195">
        <f>IF(AND('Small Signal'!$B$62&gt;=1,FCCM=0),AF85+0,AC85+0)</f>
        <v>47.448933491828349</v>
      </c>
      <c r="Q85" s="195">
        <f>IF(AND('Small Signal'!$B$62&gt;=1,FCCM=0),AG85,AD85)</f>
        <v>97.370071982641178</v>
      </c>
      <c r="R85" s="195" t="str">
        <f>IMDIV(IMSUM('Small Signal'!$B$2*'Small Signal'!$B$39*'Small Signal'!$B$63,IMPRODUCT(M85,'Small Signal'!$B$2*'Small Signal'!$B$39*'Small Signal'!$B$63*'Small Signal'!$B$14*'Small Signal'!$B$15)),IMSUM(IMPRODUCT('Small Signal'!$B$12*'Small Signal'!$B$14*('Small Signal'!$B$15+'Small Signal'!$B$39),IMPOWER(M85,2)),IMSUM(IMPRODUCT(M85,('Small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2.57503888887132-0.327719499820227i</v>
      </c>
      <c r="S85" s="195">
        <f t="shared" si="59"/>
        <v>9.0626683649055249</v>
      </c>
      <c r="T85" s="195">
        <f t="shared" si="60"/>
        <v>-7.8025039542862054</v>
      </c>
      <c r="U85" s="195" t="str">
        <f>IMDIV(IMSUM('Small Signal'!$B$75,IMPRODUCT(M85,'Small Signal'!$B$76)),IMSUM(IMPRODUCT('Small Signal'!$B$79,IMPOWER(M85,2)),IMSUM(IMPRODUCT(M85,'Small Signal'!$B$78),'Small Signal'!$B$77)))</f>
        <v>3.03925212870829-0.297207275861736i</v>
      </c>
      <c r="V85" s="195">
        <f t="shared" si="37"/>
        <v>9.6966680181571423</v>
      </c>
      <c r="W85" s="195">
        <f t="shared" si="38"/>
        <v>-5.5851737086235067</v>
      </c>
      <c r="X85" s="195" t="str">
        <f>IMPRODUCT(IMDIV(IMSUM(IMPRODUCT(M85,'Small Signal'!$B$58*'Small Signal'!$B$6*'Small Signal'!$B$51*'Small Signal'!$B$7*'Small Signal'!$B$8),'Small Signal'!$B$58*'Small Signal'!$B$6*'Small Signal'!$B$51),IMSUM(IMSUM(IMPRODUCT(M85,('Small Signal'!$B$5+'Small Signal'!$B$6)*('Small Signal'!$B$57*'Small Signal'!$B$58)+'Small Signal'!$B$5*'Small Signal'!$B$58*('Small Signal'!$B$8+'Small Signal'!$B$9)+'Small Signal'!$B$6*'Small Signal'!$B$58*('Small Signal'!$B$8+'Small Signal'!$B$9)+'Small Signal'!$B$7*'Small Signal'!$B$8*('Small Signal'!$B$5+'Small Signal'!$B$6)),'Small Signal'!$B$6+'Small Signal'!$B$5),IMPRODUCT(IMPOWER(M85,2),'Small Signal'!$B$57*'Small Signal'!$B$58*'Small Signal'!$B$8*'Small Signal'!$B$7*('Small Signal'!$B$5+'Small Signal'!$B$6)+('Small Signal'!$B$5+'Small Signal'!$B$6)*('Small Signal'!$B$9*'Small Signal'!$B$8*'Small Signal'!$B$58*'Small Signal'!$B$7)))),-1)</f>
        <v>-21.551548275321+80.1991343170553i</v>
      </c>
      <c r="Y85" s="195">
        <f t="shared" si="39"/>
        <v>38.386265126922829</v>
      </c>
      <c r="Z85" s="195">
        <f t="shared" si="40"/>
        <v>105.17257593692739</v>
      </c>
      <c r="AA85" s="195" t="str">
        <f t="shared" si="41"/>
        <v>1.00000421558173+0.00228791656186827i</v>
      </c>
      <c r="AB85" s="195" t="str">
        <f t="shared" si="42"/>
        <v>-30.2410911246896+233.799598644522i</v>
      </c>
      <c r="AC85" s="192">
        <f t="shared" si="43"/>
        <v>47.448933491828349</v>
      </c>
      <c r="AD85" s="195">
        <f t="shared" si="44"/>
        <v>97.370071982641178</v>
      </c>
      <c r="AE85" s="195" t="str">
        <f t="shared" si="45"/>
        <v>-41.6648227358873+250.150666647183i</v>
      </c>
      <c r="AF85" s="192">
        <f t="shared" si="46"/>
        <v>48.082873795915873</v>
      </c>
      <c r="AG85" s="195">
        <f t="shared" si="47"/>
        <v>99.456315046766179</v>
      </c>
      <c r="AI85" s="195" t="str">
        <f t="shared" si="48"/>
        <v>0.002-1.36183179430209i</v>
      </c>
      <c r="AJ85" s="195">
        <f t="shared" si="49"/>
        <v>0.22500000000000001</v>
      </c>
      <c r="AK85" s="195" t="str">
        <f t="shared" si="50"/>
        <v>0.0375-2723.66358860418i</v>
      </c>
      <c r="AL85" s="195" t="str">
        <f t="shared" si="51"/>
        <v>0.218965230678458-0.0361863683031591i</v>
      </c>
      <c r="AM85" s="195" t="str">
        <f t="shared" si="52"/>
        <v>0.898502275525406-0.000444919546578002i</v>
      </c>
      <c r="AN85" s="195" t="str">
        <f t="shared" si="53"/>
        <v>0.006+0.00505771353764776i</v>
      </c>
      <c r="AO85" s="195" t="str">
        <f t="shared" si="54"/>
        <v>2.81250920369016-0.385391057645692i</v>
      </c>
      <c r="AP85" s="195">
        <f t="shared" si="61"/>
        <v>9.0626683649055249</v>
      </c>
      <c r="AQ85" s="195">
        <f t="shared" si="62"/>
        <v>-7.8025039542862054</v>
      </c>
      <c r="AS85" s="195" t="str">
        <f t="shared" si="55"/>
        <v>0.921950981494222-0.000468445197497675i</v>
      </c>
      <c r="AT85" s="195" t="str">
        <f t="shared" si="56"/>
        <v>2.82673002827097-0.388971417219572i</v>
      </c>
      <c r="AU85" s="195">
        <f t="shared" si="63"/>
        <v>9.1071517128098769</v>
      </c>
      <c r="AV85" s="195">
        <f t="shared" si="64"/>
        <v>-7.8349655687623692</v>
      </c>
    </row>
    <row r="86" spans="1:48" x14ac:dyDescent="0.2">
      <c r="A86" s="197" t="s">
        <v>298</v>
      </c>
      <c r="B86" s="195">
        <f>1/(PI()*(((Sn+Se_ss)/(Sn+Sf))-0.5))</f>
        <v>0.29659490226775842</v>
      </c>
      <c r="C86" s="195">
        <f>1/(PI()*(((sn_vimax+Se_ss)/(sn_vimax+Sf))-0.5))</f>
        <v>0.30433530581474622</v>
      </c>
      <c r="F86" s="195">
        <v>84</v>
      </c>
      <c r="G86" s="210">
        <f t="shared" si="33"/>
        <v>168.75095950678423</v>
      </c>
      <c r="H86" s="210">
        <f t="shared" si="34"/>
        <v>168.57881372500071</v>
      </c>
      <c r="I86" s="196">
        <f t="shared" si="35"/>
        <v>1</v>
      </c>
      <c r="J86" s="195">
        <f t="shared" si="57"/>
        <v>1</v>
      </c>
      <c r="K86" s="195">
        <f t="shared" si="58"/>
        <v>1</v>
      </c>
      <c r="L86" s="195">
        <f>10^('Small Signal'!F86/30)</f>
        <v>630.95734448019323</v>
      </c>
      <c r="M86" s="195" t="str">
        <f t="shared" si="36"/>
        <v>3964.421916295i</v>
      </c>
      <c r="N86" s="195">
        <f>IF(D$32=1, IF(AND('Small Signal'!$B$62&gt;=1,FCCM=0),V86+0,S86+0), 0)</f>
        <v>9.0501823458101498</v>
      </c>
      <c r="O86" s="195">
        <f>IF(D$32=1, IF(AND('Small Signal'!$B$62&gt;=1,FCCM=0),W86,T86), 0)</f>
        <v>-8.4171168178434783</v>
      </c>
      <c r="P86" s="195">
        <f>IF(AND('Small Signal'!$B$62&gt;=1,FCCM=0),AF86+0,AC86+0)</f>
        <v>46.795482433400366</v>
      </c>
      <c r="Q86" s="195">
        <f>IF(AND('Small Signal'!$B$62&gt;=1,FCCM=0),AG86,AD86)</f>
        <v>96.337032771334123</v>
      </c>
      <c r="R86" s="195" t="str">
        <f>IMDIV(IMSUM('Small Signal'!$B$2*'Small Signal'!$B$39*'Small Signal'!$B$63,IMPRODUCT(M86,'Small Signal'!$B$2*'Small Signal'!$B$39*'Small Signal'!$B$63*'Small Signal'!$B$14*'Small Signal'!$B$15)),IMSUM(IMPRODUCT('Small Signal'!$B$12*'Small Signal'!$B$14*('Small Signal'!$B$15+'Small Signal'!$B$39),IMPOWER(M86,2)),IMSUM(IMPRODUCT(M86,('Small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2.56858058674683-0.353024032159667i</v>
      </c>
      <c r="S86" s="195">
        <f t="shared" si="59"/>
        <v>9.0501823458101498</v>
      </c>
      <c r="T86" s="195">
        <f t="shared" si="60"/>
        <v>-8.4171168178434783</v>
      </c>
      <c r="U86" s="195" t="str">
        <f>IMDIV(IMSUM('Small Signal'!$B$75,IMPRODUCT(M86,'Small Signal'!$B$76)),IMSUM(IMPRODUCT('Small Signal'!$B$79,IMPOWER(M86,2)),IMSUM(IMPRODUCT(M86,'Small Signal'!$B$78),'Small Signal'!$B$77)))</f>
        <v>3.03549064921429-0.320630342173301i</v>
      </c>
      <c r="V86" s="195">
        <f t="shared" si="37"/>
        <v>9.6927643566157293</v>
      </c>
      <c r="W86" s="195">
        <f t="shared" si="38"/>
        <v>-6.0296340023476622</v>
      </c>
      <c r="X86" s="195" t="str">
        <f>IMPRODUCT(IMDIV(IMSUM(IMPRODUCT(M86,'Small Signal'!$B$58*'Small Signal'!$B$6*'Small Signal'!$B$51*'Small Signal'!$B$7*'Small Signal'!$B$8),'Small Signal'!$B$58*'Small Signal'!$B$6*'Small Signal'!$B$51),IMSUM(IMSUM(IMPRODUCT(M86,('Small Signal'!$B$5+'Small Signal'!$B$6)*('Small Signal'!$B$57*'Small Signal'!$B$58)+'Small Signal'!$B$5*'Small Signal'!$B$58*('Small Signal'!$B$8+'Small Signal'!$B$9)+'Small Signal'!$B$6*'Small Signal'!$B$58*('Small Signal'!$B$8+'Small Signal'!$B$9)+'Small Signal'!$B$7*'Small Signal'!$B$8*('Small Signal'!$B$5+'Small Signal'!$B$6)),'Small Signal'!$B$6+'Small Signal'!$B$5),IMPRODUCT(IMPOWER(M86,2),'Small Signal'!$B$57*'Small Signal'!$B$58*'Small Signal'!$B$8*'Small Signal'!$B$7*('Small Signal'!$B$5+'Small Signal'!$B$6)+('Small Signal'!$B$5+'Small Signal'!$B$6)*('Small Signal'!$B$9*'Small Signal'!$B$8*'Small Signal'!$B$58*'Small Signal'!$B$7)))),-1)</f>
        <v>-19.4602420873462+74.6416966040079i</v>
      </c>
      <c r="Y86" s="195">
        <f t="shared" si="39"/>
        <v>37.745300087590223</v>
      </c>
      <c r="Z86" s="195">
        <f t="shared" si="40"/>
        <v>104.75414958917759</v>
      </c>
      <c r="AA86" s="195" t="str">
        <f t="shared" si="41"/>
        <v>1.00000491500468+0.00247043408546006i</v>
      </c>
      <c r="AB86" s="195" t="str">
        <f t="shared" si="42"/>
        <v>-24.135241002366+217.326339331875i</v>
      </c>
      <c r="AC86" s="192">
        <f t="shared" si="43"/>
        <v>46.795482433400366</v>
      </c>
      <c r="AD86" s="195">
        <f t="shared" si="44"/>
        <v>96.337032771334123</v>
      </c>
      <c r="AE86" s="195" t="str">
        <f t="shared" si="45"/>
        <v>-35.138990165047+232.813716162197i</v>
      </c>
      <c r="AF86" s="192">
        <f t="shared" si="46"/>
        <v>47.43799524827827</v>
      </c>
      <c r="AG86" s="195">
        <f t="shared" si="47"/>
        <v>98.582971123808335</v>
      </c>
      <c r="AI86" s="195" t="str">
        <f t="shared" si="48"/>
        <v>0.002-1.2612179292644i</v>
      </c>
      <c r="AJ86" s="195">
        <f t="shared" si="49"/>
        <v>0.22500000000000001</v>
      </c>
      <c r="AK86" s="195" t="str">
        <f t="shared" si="50"/>
        <v>0.0375-2522.43585852881i</v>
      </c>
      <c r="AL86" s="195" t="str">
        <f t="shared" si="51"/>
        <v>0.217995422866607-0.0388985053355333i</v>
      </c>
      <c r="AM86" s="195" t="str">
        <f t="shared" si="52"/>
        <v>0.898502238972011-0.000480413056084589i</v>
      </c>
      <c r="AN86" s="195" t="str">
        <f t="shared" si="53"/>
        <v>0.006+0.00546119345612066i</v>
      </c>
      <c r="AO86" s="195" t="str">
        <f t="shared" si="54"/>
        <v>2.80417944779926-0.414941233641505i</v>
      </c>
      <c r="AP86" s="195">
        <f t="shared" si="61"/>
        <v>9.0501823458101498</v>
      </c>
      <c r="AQ86" s="195">
        <f t="shared" si="62"/>
        <v>-8.4171168178434783</v>
      </c>
      <c r="AS86" s="195" t="str">
        <f t="shared" si="55"/>
        <v>0.921950942003626-0.000505815467503728i</v>
      </c>
      <c r="AT86" s="195" t="str">
        <f t="shared" si="56"/>
        <v>2.81827969877719-0.418783333575358i</v>
      </c>
      <c r="AU86" s="195">
        <f t="shared" si="63"/>
        <v>9.0945332362243256</v>
      </c>
      <c r="AV86" s="195">
        <f t="shared" si="64"/>
        <v>-8.4520413839221469</v>
      </c>
    </row>
    <row r="87" spans="1:48" x14ac:dyDescent="0.2">
      <c r="A87" s="197" t="s">
        <v>299</v>
      </c>
      <c r="B87" s="195">
        <f>PI()*fsw_ss</f>
        <v>2199114.857512855</v>
      </c>
      <c r="F87" s="195">
        <v>85</v>
      </c>
      <c r="G87" s="210">
        <f t="shared" si="33"/>
        <v>168.76469197077955</v>
      </c>
      <c r="H87" s="210">
        <f t="shared" si="34"/>
        <v>168.57881372500071</v>
      </c>
      <c r="I87" s="196">
        <f t="shared" si="35"/>
        <v>1</v>
      </c>
      <c r="J87" s="195">
        <f t="shared" si="57"/>
        <v>1</v>
      </c>
      <c r="K87" s="195">
        <f t="shared" si="58"/>
        <v>1</v>
      </c>
      <c r="L87" s="195">
        <f>10^('Small Signal'!F87/30)</f>
        <v>681.29206905796195</v>
      </c>
      <c r="M87" s="195" t="str">
        <f t="shared" si="36"/>
        <v>4280.68431820297i</v>
      </c>
      <c r="N87" s="195">
        <f>IF(D$32=1, IF(AND('Small Signal'!$B$62&gt;=1,FCCM=0),V87+0,S87+0), 0)</f>
        <v>9.0356697732770144</v>
      </c>
      <c r="O87" s="195">
        <f>IF(D$32=1, IF(AND('Small Signal'!$B$62&gt;=1,FCCM=0),W87,T87), 0)</f>
        <v>-9.0787690248993993</v>
      </c>
      <c r="P87" s="195">
        <f>IF(AND('Small Signal'!$B$62&gt;=1,FCCM=0),AF87+0,AC87+0)</f>
        <v>46.137769724023286</v>
      </c>
      <c r="Q87" s="195">
        <f>IF(AND('Small Signal'!$B$62&gt;=1,FCCM=0),AG87,AD87)</f>
        <v>95.338796225123858</v>
      </c>
      <c r="R87" s="195" t="str">
        <f>IMDIV(IMSUM('Small Signal'!$B$2*'Small Signal'!$B$39*'Small Signal'!$B$63,IMPRODUCT(M87,'Small Signal'!$B$2*'Small Signal'!$B$39*'Small Signal'!$B$63*'Small Signal'!$B$14*'Small Signal'!$B$15)),IMSUM(IMPRODUCT('Small Signal'!$B$12*'Small Signal'!$B$14*('Small Signal'!$B$15+'Small Signal'!$B$39),IMPOWER(M87,2)),IMSUM(IMPRODUCT(M87,('Small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2.56108919330137-0.380135302283395i</v>
      </c>
      <c r="S87" s="195">
        <f t="shared" si="59"/>
        <v>9.0356697732770144</v>
      </c>
      <c r="T87" s="195">
        <f t="shared" si="60"/>
        <v>-9.0787690248993993</v>
      </c>
      <c r="U87" s="195" t="str">
        <f>IMDIV(IMSUM('Small Signal'!$B$75,IMPRODUCT(M87,'Small Signal'!$B$76)),IMSUM(IMPRODUCT('Small Signal'!$B$79,IMPOWER(M87,2)),IMSUM(IMPRODUCT(M87,'Small Signal'!$B$78),'Small Signal'!$B$77)))</f>
        <v>3.03111261582572-0.345848343381464i</v>
      </c>
      <c r="V87" s="195">
        <f t="shared" si="37"/>
        <v>9.6882160196955383</v>
      </c>
      <c r="W87" s="195">
        <f t="shared" si="38"/>
        <v>-6.5092681060124535</v>
      </c>
      <c r="X87" s="195" t="str">
        <f>IMPRODUCT(IMDIV(IMSUM(IMPRODUCT(M87,'Small Signal'!$B$58*'Small Signal'!$B$6*'Small Signal'!$B$51*'Small Signal'!$B$7*'Small Signal'!$B$8),'Small Signal'!$B$58*'Small Signal'!$B$6*'Small Signal'!$B$51),IMSUM(IMSUM(IMPRODUCT(M87,('Small Signal'!$B$5+'Small Signal'!$B$6)*('Small Signal'!$B$57*'Small Signal'!$B$58)+'Small Signal'!$B$5*'Small Signal'!$B$58*('Small Signal'!$B$8+'Small Signal'!$B$9)+'Small Signal'!$B$6*'Small Signal'!$B$58*('Small Signal'!$B$8+'Small Signal'!$B$9)+'Small Signal'!$B$7*'Small Signal'!$B$8*('Small Signal'!$B$5+'Small Signal'!$B$6)),'Small Signal'!$B$6+'Small Signal'!$B$5),IMPRODUCT(IMPOWER(M87,2),'Small Signal'!$B$57*'Small Signal'!$B$58*'Small Signal'!$B$8*'Small Signal'!$B$7*('Small Signal'!$B$5+'Small Signal'!$B$6)+('Small Signal'!$B$5+'Small Signal'!$B$6)*('Small Signal'!$B$9*'Small Signal'!$B$8*'Small Signal'!$B$58*'Small Signal'!$B$7)))),-1)</f>
        <v>-17.6500518641086+69.4224361338303i</v>
      </c>
      <c r="Y87" s="195">
        <f t="shared" si="39"/>
        <v>37.102099950746265</v>
      </c>
      <c r="Z87" s="195">
        <f t="shared" si="40"/>
        <v>104.41756525002326</v>
      </c>
      <c r="AA87" s="195" t="str">
        <f t="shared" si="41"/>
        <v>1.00000573047098+0.0026675116138254i</v>
      </c>
      <c r="AB87" s="195" t="str">
        <f t="shared" si="42"/>
        <v>-18.8616881905016+201.836815437489i</v>
      </c>
      <c r="AC87" s="192">
        <f t="shared" si="43"/>
        <v>46.137769724023286</v>
      </c>
      <c r="AD87" s="195">
        <f t="shared" si="44"/>
        <v>95.338796225123858</v>
      </c>
      <c r="AE87" s="195" t="str">
        <f t="shared" si="45"/>
        <v>-29.4896603448872+216.531463184407i</v>
      </c>
      <c r="AF87" s="192">
        <f t="shared" si="46"/>
        <v>46.790235294072779</v>
      </c>
      <c r="AG87" s="195">
        <f t="shared" si="47"/>
        <v>97.755461225062874</v>
      </c>
      <c r="AI87" s="195" t="str">
        <f t="shared" si="48"/>
        <v>0.002-1.16803754454358i</v>
      </c>
      <c r="AJ87" s="195">
        <f t="shared" si="49"/>
        <v>0.22500000000000001</v>
      </c>
      <c r="AK87" s="195" t="str">
        <f t="shared" si="50"/>
        <v>0.0375-2336.07508908716i</v>
      </c>
      <c r="AL87" s="195" t="str">
        <f t="shared" si="51"/>
        <v>0.216875599092263-0.0417839030097147i</v>
      </c>
      <c r="AM87" s="195" t="str">
        <f t="shared" si="52"/>
        <v>0.898502196353879-0.000518738061013087i</v>
      </c>
      <c r="AN87" s="195" t="str">
        <f t="shared" si="53"/>
        <v>0.006+0.00589686105058572i</v>
      </c>
      <c r="AO87" s="195" t="str">
        <f t="shared" si="54"/>
        <v>2.79452777288467-0.446548810526862i</v>
      </c>
      <c r="AP87" s="195">
        <f t="shared" si="61"/>
        <v>9.0356697732770144</v>
      </c>
      <c r="AQ87" s="195">
        <f t="shared" si="62"/>
        <v>-9.0787690248993993</v>
      </c>
      <c r="AS87" s="195" t="str">
        <f t="shared" si="55"/>
        <v>0.921950895960976-0.000546166951255876i</v>
      </c>
      <c r="AT87" s="195" t="str">
        <f t="shared" si="56"/>
        <v>2.8084889653599-0.450667634486843i</v>
      </c>
      <c r="AU87" s="195">
        <f t="shared" si="63"/>
        <v>9.0798671988030808</v>
      </c>
      <c r="AV87" s="195">
        <f t="shared" si="64"/>
        <v>-9.1163212171256838</v>
      </c>
    </row>
    <row r="88" spans="1:48" x14ac:dyDescent="0.2">
      <c r="F88" s="195">
        <v>86</v>
      </c>
      <c r="G88" s="210">
        <f t="shared" si="33"/>
        <v>168.77951981649448</v>
      </c>
      <c r="H88" s="210">
        <f t="shared" si="34"/>
        <v>168.57881372500071</v>
      </c>
      <c r="I88" s="196">
        <f t="shared" si="35"/>
        <v>1</v>
      </c>
      <c r="J88" s="195">
        <f t="shared" si="57"/>
        <v>1</v>
      </c>
      <c r="K88" s="195">
        <f t="shared" si="58"/>
        <v>1</v>
      </c>
      <c r="L88" s="195">
        <f>10^('Small Signal'!F88/30)</f>
        <v>735.64225445964166</v>
      </c>
      <c r="M88" s="195" t="str">
        <f t="shared" si="36"/>
        <v>4622.17660456129i</v>
      </c>
      <c r="N88" s="195">
        <f>IF(D$32=1, IF(AND('Small Signal'!$B$62&gt;=1,FCCM=0),V88+0,S88+0), 0)</f>
        <v>9.0188101939710901</v>
      </c>
      <c r="O88" s="195">
        <f>IF(D$32=1, IF(AND('Small Signal'!$B$62&gt;=1,FCCM=0),W88,T88), 0)</f>
        <v>-9.7907142813042025</v>
      </c>
      <c r="P88" s="195">
        <f>IF(AND('Small Signal'!$B$62&gt;=1,FCCM=0),AF88+0,AC88+0)</f>
        <v>45.4759906386426</v>
      </c>
      <c r="Q88" s="195">
        <f>IF(AND('Small Signal'!$B$62&gt;=1,FCCM=0),AG88,AD88)</f>
        <v>94.370903010195121</v>
      </c>
      <c r="R88" s="195" t="str">
        <f>IMDIV(IMSUM('Small Signal'!$B$2*'Small Signal'!$B$39*'Small Signal'!$B$63,IMPRODUCT(M88,'Small Signal'!$B$2*'Small Signal'!$B$39*'Small Signal'!$B$63*'Small Signal'!$B$14*'Small Signal'!$B$15)),IMSUM(IMPRODUCT('Small Signal'!$B$12*'Small Signal'!$B$14*('Small Signal'!$B$15+'Small Signal'!$B$39),IMPOWER(M88,2)),IMSUM(IMPRODUCT(M88,('Small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2.55240668277912-0.409145024425174i</v>
      </c>
      <c r="S88" s="195">
        <f t="shared" si="59"/>
        <v>9.0188101939710901</v>
      </c>
      <c r="T88" s="195">
        <f t="shared" si="60"/>
        <v>-9.7907142813042025</v>
      </c>
      <c r="U88" s="195" t="str">
        <f>IMDIV(IMSUM('Small Signal'!$B$75,IMPRODUCT(M88,'Small Signal'!$B$76)),IMSUM(IMPRODUCT('Small Signal'!$B$79,IMPOWER(M88,2)),IMSUM(IMPRODUCT(M88,'Small Signal'!$B$78),'Small Signal'!$B$77)))</f>
        <v>3.02601841277902-0.372985675225546i</v>
      </c>
      <c r="V88" s="195">
        <f t="shared" si="37"/>
        <v>9.6829171173764799</v>
      </c>
      <c r="W88" s="195">
        <f t="shared" si="38"/>
        <v>-7.026809266862573</v>
      </c>
      <c r="X88" s="195" t="str">
        <f>IMPRODUCT(IMDIV(IMSUM(IMPRODUCT(M88,'Small Signal'!$B$58*'Small Signal'!$B$6*'Small Signal'!$B$51*'Small Signal'!$B$7*'Small Signal'!$B$8),'Small Signal'!$B$58*'Small Signal'!$B$6*'Small Signal'!$B$51),IMSUM(IMSUM(IMPRODUCT(M88,('Small Signal'!$B$5+'Small Signal'!$B$6)*('Small Signal'!$B$57*'Small Signal'!$B$58)+'Small Signal'!$B$5*'Small Signal'!$B$58*('Small Signal'!$B$8+'Small Signal'!$B$9)+'Small Signal'!$B$6*'Small Signal'!$B$58*('Small Signal'!$B$8+'Small Signal'!$B$9)+'Small Signal'!$B$7*'Small Signal'!$B$8*('Small Signal'!$B$5+'Small Signal'!$B$6)),'Small Signal'!$B$6+'Small Signal'!$B$5),IMPRODUCT(IMPOWER(M88,2),'Small Signal'!$B$57*'Small Signal'!$B$58*'Small Signal'!$B$8*'Small Signal'!$B$7*('Small Signal'!$B$5+'Small Signal'!$B$6)+('Small Signal'!$B$5+'Small Signal'!$B$6)*('Small Signal'!$B$9*'Small Signal'!$B$8*'Small Signal'!$B$58*'Small Signal'!$B$7)))),-1)</f>
        <v>-16.0851750191909+64.5304781068328i</v>
      </c>
      <c r="Y88" s="195">
        <f t="shared" si="39"/>
        <v>36.457180444671501</v>
      </c>
      <c r="Z88" s="195">
        <f t="shared" si="40"/>
        <v>104.16161729149933</v>
      </c>
      <c r="AA88" s="195" t="str">
        <f t="shared" si="41"/>
        <v>1.00000668123352+0.00288031058041908i</v>
      </c>
      <c r="AB88" s="195" t="str">
        <f t="shared" si="42"/>
        <v>-14.3161667054961+187.298622242961i</v>
      </c>
      <c r="AC88" s="192">
        <f t="shared" si="43"/>
        <v>45.4759906386426</v>
      </c>
      <c r="AD88" s="195">
        <f t="shared" si="44"/>
        <v>94.370903010195121</v>
      </c>
      <c r="AE88" s="195" t="str">
        <f t="shared" si="45"/>
        <v>-24.6050918315404+201.269954802364i</v>
      </c>
      <c r="AF88" s="192">
        <f t="shared" si="46"/>
        <v>46.140003500524543</v>
      </c>
      <c r="AG88" s="195">
        <f t="shared" si="47"/>
        <v>96.969779943646969</v>
      </c>
      <c r="AI88" s="195" t="str">
        <f t="shared" si="48"/>
        <v>0.002-1.08174144515938i</v>
      </c>
      <c r="AJ88" s="195">
        <f t="shared" si="49"/>
        <v>0.22500000000000001</v>
      </c>
      <c r="AK88" s="195" t="str">
        <f t="shared" si="50"/>
        <v>0.0375-2163.48289031876i</v>
      </c>
      <c r="AL88" s="195" t="str">
        <f t="shared" si="51"/>
        <v>0.215584551999667-0.0448461654347614i</v>
      </c>
      <c r="AM88" s="195" t="str">
        <f t="shared" si="52"/>
        <v>0.898502146664796-0.000560120443060112i</v>
      </c>
      <c r="AN88" s="195" t="str">
        <f t="shared" si="53"/>
        <v>0.006+0.00636728409812014i</v>
      </c>
      <c r="AO88" s="195" t="str">
        <f t="shared" si="54"/>
        <v>2.78335563367743-0.480304464597609i</v>
      </c>
      <c r="AP88" s="195">
        <f t="shared" si="61"/>
        <v>9.0188101939710901</v>
      </c>
      <c r="AQ88" s="195">
        <f t="shared" si="62"/>
        <v>-9.7907142813042025</v>
      </c>
      <c r="AS88" s="195" t="str">
        <f t="shared" si="55"/>
        <v>0.921950842279187-0.000589737474112109i</v>
      </c>
      <c r="AT88" s="195" t="str">
        <f t="shared" si="56"/>
        <v>2.79715673239845-0.484714793435079i</v>
      </c>
      <c r="AU88" s="195">
        <f t="shared" si="63"/>
        <v>9.0628299967821349</v>
      </c>
      <c r="AV88" s="195">
        <f t="shared" si="64"/>
        <v>-9.8310641249420989</v>
      </c>
    </row>
    <row r="89" spans="1:48" x14ac:dyDescent="0.2">
      <c r="A89" s="197" t="s">
        <v>301</v>
      </c>
      <c r="B89" s="195">
        <f>Lo_ss*q_2*w_2</f>
        <v>0.8985024958402662</v>
      </c>
      <c r="C89" s="195">
        <f>Lo_ss*q_2_vimax*w_2</f>
        <v>0.92195121951219494</v>
      </c>
      <c r="F89" s="195">
        <v>87</v>
      </c>
      <c r="G89" s="210">
        <f t="shared" si="33"/>
        <v>168.79553039508835</v>
      </c>
      <c r="H89" s="210">
        <f t="shared" si="34"/>
        <v>168.57881372500071</v>
      </c>
      <c r="I89" s="196">
        <f t="shared" si="35"/>
        <v>1</v>
      </c>
      <c r="J89" s="195">
        <f t="shared" si="57"/>
        <v>1</v>
      </c>
      <c r="K89" s="195">
        <f t="shared" si="58"/>
        <v>1</v>
      </c>
      <c r="L89" s="195">
        <f>10^('Small Signal'!F89/30)</f>
        <v>794.32823472428208</v>
      </c>
      <c r="M89" s="195" t="str">
        <f t="shared" si="36"/>
        <v>4990.91149349751i</v>
      </c>
      <c r="N89" s="195">
        <f>IF(D$32=1, IF(AND('Small Signal'!$B$62&gt;=1,FCCM=0),V89+0,S89+0), 0)</f>
        <v>8.9992354247783997</v>
      </c>
      <c r="O89" s="195">
        <f>IF(D$32=1, IF(AND('Small Signal'!$B$62&gt;=1,FCCM=0),W89,T89), 0)</f>
        <v>-10.556344272569016</v>
      </c>
      <c r="P89" s="195">
        <f>IF(AND('Small Signal'!$B$62&gt;=1,FCCM=0),AF89+0,AC89+0)</f>
        <v>44.810260281394029</v>
      </c>
      <c r="Q89" s="195">
        <f>IF(AND('Small Signal'!$B$62&gt;=1,FCCM=0),AG89,AD89)</f>
        <v>93.429016912099513</v>
      </c>
      <c r="R89" s="195" t="str">
        <f>IMDIV(IMSUM('Small Signal'!$B$2*'Small Signal'!$B$39*'Small Signal'!$B$63,IMPRODUCT(M89,'Small Signal'!$B$2*'Small Signal'!$B$39*'Small Signal'!$B$63*'Small Signal'!$B$14*'Small Signal'!$B$15)),IMSUM(IMPRODUCT('Small Signal'!$B$12*'Small Signal'!$B$14*('Small Signal'!$B$15+'Small Signal'!$B$39),IMPOWER(M89,2)),IMSUM(IMPRODUCT(M89,('Small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2.54235337370459-0.440139760902307i</v>
      </c>
      <c r="S89" s="195">
        <f t="shared" si="59"/>
        <v>8.9992354247783997</v>
      </c>
      <c r="T89" s="195">
        <f t="shared" si="60"/>
        <v>-10.556344272569016</v>
      </c>
      <c r="U89" s="195" t="str">
        <f>IMDIV(IMSUM('Small Signal'!$B$75,IMPRODUCT(M89,'Small Signal'!$B$76)),IMSUM(IMPRODUCT('Small Signal'!$B$79,IMPOWER(M89,2)),IMSUM(IMPRODUCT(M89,'Small Signal'!$B$78),'Small Signal'!$B$77)))</f>
        <v>3.02009284416781-0.402171916581137i</v>
      </c>
      <c r="V89" s="195">
        <f t="shared" si="37"/>
        <v>9.676744571997439</v>
      </c>
      <c r="W89" s="195">
        <f t="shared" si="38"/>
        <v>-7.5851901949881855</v>
      </c>
      <c r="X89" s="195" t="str">
        <f>IMPRODUCT(IMDIV(IMSUM(IMPRODUCT(M89,'Small Signal'!$B$58*'Small Signal'!$B$6*'Small Signal'!$B$51*'Small Signal'!$B$7*'Small Signal'!$B$8),'Small Signal'!$B$58*'Small Signal'!$B$6*'Small Signal'!$B$51),IMSUM(IMSUM(IMPRODUCT(M89,('Small Signal'!$B$5+'Small Signal'!$B$6)*('Small Signal'!$B$57*'Small Signal'!$B$58)+'Small Signal'!$B$5*'Small Signal'!$B$58*('Small Signal'!$B$8+'Small Signal'!$B$9)+'Small Signal'!$B$6*'Small Signal'!$B$58*('Small Signal'!$B$8+'Small Signal'!$B$9)+'Small Signal'!$B$7*'Small Signal'!$B$8*('Small Signal'!$B$5+'Small Signal'!$B$6)),'Small Signal'!$B$6+'Small Signal'!$B$5),IMPRODUCT(IMPOWER(M89,2),'Small Signal'!$B$57*'Small Signal'!$B$58*'Small Signal'!$B$8*'Small Signal'!$B$7*('Small Signal'!$B$5+'Small Signal'!$B$6)+('Small Signal'!$B$5+'Small Signal'!$B$6)*('Small Signal'!$B$9*'Small Signal'!$B$8*'Small Signal'!$B$58*'Small Signal'!$B$7)))),-1)</f>
        <v>-14.7338491057086+59.9531069211677i</v>
      </c>
      <c r="Y89" s="195">
        <f t="shared" si="39"/>
        <v>35.811024856615639</v>
      </c>
      <c r="Z89" s="195">
        <f t="shared" si="40"/>
        <v>103.98536118466853</v>
      </c>
      <c r="AA89" s="195" t="str">
        <f t="shared" si="41"/>
        <v>1.00000778973943+0.00311008504808379i</v>
      </c>
      <c r="AB89" s="195" t="str">
        <f t="shared" si="42"/>
        <v>-10.40640497437+173.673991031517i</v>
      </c>
      <c r="AC89" s="192">
        <f t="shared" si="43"/>
        <v>44.810260281394029</v>
      </c>
      <c r="AD89" s="195">
        <f t="shared" si="44"/>
        <v>93.429016912099513</v>
      </c>
      <c r="AE89" s="195" t="str">
        <f t="shared" si="45"/>
        <v>-20.386136335719+186.989489531706i</v>
      </c>
      <c r="AF89" s="192">
        <f t="shared" si="46"/>
        <v>45.487659761223171</v>
      </c>
      <c r="AG89" s="195">
        <f t="shared" si="47"/>
        <v>96.221978205098722</v>
      </c>
      <c r="AI89" s="195" t="str">
        <f t="shared" si="48"/>
        <v>0.002-1.00182101135521i</v>
      </c>
      <c r="AJ89" s="195">
        <f t="shared" si="49"/>
        <v>0.22500000000000001</v>
      </c>
      <c r="AK89" s="195" t="str">
        <f t="shared" si="50"/>
        <v>0.0375-2003.64202271041i</v>
      </c>
      <c r="AL89" s="195" t="str">
        <f t="shared" si="51"/>
        <v>0.214098752248644-0.0480869466936426i</v>
      </c>
      <c r="AM89" s="195" t="str">
        <f t="shared" si="52"/>
        <v>0.898502088731578-0.000604804103332014i</v>
      </c>
      <c r="AN89" s="195" t="str">
        <f t="shared" si="53"/>
        <v>0.006+0.00687523522063432i</v>
      </c>
      <c r="AO89" s="195" t="str">
        <f t="shared" si="54"/>
        <v>2.77043855014933-0.516288965320063i</v>
      </c>
      <c r="AP89" s="195">
        <f t="shared" si="61"/>
        <v>8.9992354247783997</v>
      </c>
      <c r="AQ89" s="195">
        <f t="shared" si="62"/>
        <v>-10.556344272569016</v>
      </c>
      <c r="AS89" s="195" t="str">
        <f t="shared" si="55"/>
        <v>0.921950779690827-0.000636783833610873i</v>
      </c>
      <c r="AT89" s="195" t="str">
        <f t="shared" si="56"/>
        <v>2.7840557155396-0.52100505517176i</v>
      </c>
      <c r="AU89" s="195">
        <f t="shared" si="63"/>
        <v>9.0430498868341473</v>
      </c>
      <c r="AV89" s="195">
        <f t="shared" si="64"/>
        <v>-10.599665754656376</v>
      </c>
    </row>
    <row r="90" spans="1:48" x14ac:dyDescent="0.2">
      <c r="A90" s="197" t="s">
        <v>302</v>
      </c>
      <c r="B90" s="195">
        <f>1/(Lo_ss*w_2^2)</f>
        <v>1.5010545724790788E-7</v>
      </c>
      <c r="F90" s="195">
        <v>88</v>
      </c>
      <c r="G90" s="210">
        <f t="shared" si="33"/>
        <v>168.81281801760528</v>
      </c>
      <c r="H90" s="210">
        <f t="shared" si="34"/>
        <v>168.57881372500071</v>
      </c>
      <c r="I90" s="196">
        <f t="shared" si="35"/>
        <v>1</v>
      </c>
      <c r="J90" s="195">
        <f t="shared" si="57"/>
        <v>1</v>
      </c>
      <c r="K90" s="195">
        <f t="shared" si="58"/>
        <v>1</v>
      </c>
      <c r="L90" s="195">
        <f>10^('Small Signal'!F90/30)</f>
        <v>857.69589859089422</v>
      </c>
      <c r="M90" s="195" t="str">
        <f t="shared" si="36"/>
        <v>5389.0622680545i</v>
      </c>
      <c r="N90" s="195">
        <f>IF(D$32=1, IF(AND('Small Signal'!$B$62&gt;=1,FCCM=0),V90+0,S90+0), 0)</f>
        <v>8.9765234574694563</v>
      </c>
      <c r="O90" s="195">
        <f>IF(D$32=1, IF(AND('Small Signal'!$B$62&gt;=1,FCCM=0),W90,T90), 0)</f>
        <v>-11.379171554045442</v>
      </c>
      <c r="P90" s="195">
        <f>IF(AND('Small Signal'!$B$62&gt;=1,FCCM=0),AF90+0,AC90+0)</f>
        <v>44.140616246089046</v>
      </c>
      <c r="Q90" s="195">
        <f>IF(AND('Small Signal'!$B$62&gt;=1,FCCM=0),AG90,AD90)</f>
        <v>92.508961907467878</v>
      </c>
      <c r="R90" s="195" t="str">
        <f>IMDIV(IMSUM('Small Signal'!$B$2*'Small Signal'!$B$39*'Small Signal'!$B$63,IMPRODUCT(M90,'Small Signal'!$B$2*'Small Signal'!$B$39*'Small Signal'!$B$63*'Small Signal'!$B$14*'Small Signal'!$B$15)),IMSUM(IMPRODUCT('Small Signal'!$B$12*'Small Signal'!$B$14*('Small Signal'!$B$15+'Small Signal'!$B$39),IMPOWER(M90,2)),IMSUM(IMPRODUCT(M90,('Small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2.53072583916809-0.473197768297439i</v>
      </c>
      <c r="S90" s="195">
        <f t="shared" si="59"/>
        <v>8.9765234574694563</v>
      </c>
      <c r="T90" s="195">
        <f t="shared" si="60"/>
        <v>-11.379171554045442</v>
      </c>
      <c r="U90" s="195" t="str">
        <f>IMDIV(IMSUM('Small Signal'!$B$75,IMPRODUCT(M90,'Small Signal'!$B$76)),IMSUM(IMPRODUCT('Small Signal'!$B$79,IMPOWER(M90,2)),IMSUM(IMPRODUCT(M90,'Small Signal'!$B$78),'Small Signal'!$B$77)))</f>
        <v>3.01320288065129-0.433541073382027i</v>
      </c>
      <c r="V90" s="195">
        <f t="shared" si="37"/>
        <v>9.6695554013084255</v>
      </c>
      <c r="W90" s="195">
        <f t="shared" si="38"/>
        <v>-8.1875542814541156</v>
      </c>
      <c r="X90" s="195" t="str">
        <f>IMPRODUCT(IMDIV(IMSUM(IMPRODUCT(M90,'Small Signal'!$B$58*'Small Signal'!$B$6*'Small Signal'!$B$51*'Small Signal'!$B$7*'Small Signal'!$B$8),'Small Signal'!$B$58*'Small Signal'!$B$6*'Small Signal'!$B$51),IMSUM(IMSUM(IMPRODUCT(M90,('Small Signal'!$B$5+'Small Signal'!$B$6)*('Small Signal'!$B$57*'Small Signal'!$B$58)+'Small Signal'!$B$5*'Small Signal'!$B$58*('Small Signal'!$B$8+'Small Signal'!$B$9)+'Small Signal'!$B$6*'Small Signal'!$B$58*('Small Signal'!$B$8+'Small Signal'!$B$9)+'Small Signal'!$B$7*'Small Signal'!$B$8*('Small Signal'!$B$5+'Small Signal'!$B$6)),'Small Signal'!$B$6+'Small Signal'!$B$5),IMPRODUCT(IMPOWER(M90,2),'Small Signal'!$B$57*'Small Signal'!$B$58*'Small Signal'!$B$8*'Small Signal'!$B$7*('Small Signal'!$B$5+'Small Signal'!$B$6)+('Small Signal'!$B$5+'Small Signal'!$B$6)*('Small Signal'!$B$9*'Small Signal'!$B$8*'Small Signal'!$B$58*'Small Signal'!$B$7)))),-1)</f>
        <v>-13.5680357231201+55.6763691140654i</v>
      </c>
      <c r="Y90" s="195">
        <f t="shared" si="39"/>
        <v>35.164092788619605</v>
      </c>
      <c r="Z90" s="195">
        <f t="shared" si="40"/>
        <v>103.88813346151332</v>
      </c>
      <c r="AA90" s="195" t="str">
        <f t="shared" si="41"/>
        <v>1.00000908215993+0.00335818909232045i</v>
      </c>
      <c r="AB90" s="195" t="str">
        <f t="shared" si="42"/>
        <v>-7.0512066540537+160.921581527739i</v>
      </c>
      <c r="AC90" s="192">
        <f t="shared" si="43"/>
        <v>44.140616246089046</v>
      </c>
      <c r="AD90" s="195">
        <f t="shared" si="44"/>
        <v>92.508961907467878</v>
      </c>
      <c r="AE90" s="195" t="str">
        <f t="shared" si="45"/>
        <v>-16.7452514979592+173.646496569794i</v>
      </c>
      <c r="AF90" s="192">
        <f t="shared" si="46"/>
        <v>44.833520327539766</v>
      </c>
      <c r="AG90" s="195">
        <f t="shared" si="47"/>
        <v>95.50817158901809</v>
      </c>
      <c r="AI90" s="195" t="str">
        <f t="shared" si="48"/>
        <v>0.002-0.927805200848987i</v>
      </c>
      <c r="AJ90" s="195">
        <f t="shared" si="49"/>
        <v>0.22500000000000001</v>
      </c>
      <c r="AK90" s="195" t="str">
        <f t="shared" si="50"/>
        <v>0.0375-1855.61040169797i</v>
      </c>
      <c r="AL90" s="195" t="str">
        <f t="shared" si="51"/>
        <v>0.212392325667854-0.0515053853911403i</v>
      </c>
      <c r="AM90" s="195" t="str">
        <f t="shared" si="52"/>
        <v>0.898502021186427-0.000653052399758384i</v>
      </c>
      <c r="AN90" s="195" t="str">
        <f t="shared" si="53"/>
        <v>0.006+0.00742370822640161i</v>
      </c>
      <c r="AO90" s="195" t="str">
        <f t="shared" si="54"/>
        <v>2.75552406828865-0.554568761891805i</v>
      </c>
      <c r="AP90" s="195">
        <f t="shared" si="61"/>
        <v>8.9765234574694563</v>
      </c>
      <c r="AQ90" s="195">
        <f t="shared" si="62"/>
        <v>-11.379171554045442</v>
      </c>
      <c r="AS90" s="195" t="str">
        <f t="shared" si="55"/>
        <v>0.921950706718176-0.000687583312882432i</v>
      </c>
      <c r="AT90" s="195" t="str">
        <f t="shared" si="56"/>
        <v>2.76893041221074-0.559603941173013i</v>
      </c>
      <c r="AU90" s="195">
        <f t="shared" si="63"/>
        <v>9.0201008592029588</v>
      </c>
      <c r="AV90" s="195">
        <f t="shared" si="64"/>
        <v>-11.425640740338833</v>
      </c>
    </row>
    <row r="91" spans="1:48" x14ac:dyDescent="0.2">
      <c r="F91" s="195">
        <v>89</v>
      </c>
      <c r="G91" s="210">
        <f t="shared" si="33"/>
        <v>168.8314845079818</v>
      </c>
      <c r="H91" s="210">
        <f t="shared" si="34"/>
        <v>168.57881372500071</v>
      </c>
      <c r="I91" s="196">
        <f t="shared" si="35"/>
        <v>1</v>
      </c>
      <c r="J91" s="195">
        <f t="shared" si="57"/>
        <v>1</v>
      </c>
      <c r="K91" s="195">
        <f t="shared" si="58"/>
        <v>1</v>
      </c>
      <c r="L91" s="195">
        <f>10^('Small Signal'!F91/30)</f>
        <v>926.11872812879471</v>
      </c>
      <c r="M91" s="195" t="str">
        <f t="shared" si="36"/>
        <v>5818.97558528269i</v>
      </c>
      <c r="N91" s="195">
        <f>IF(D$32=1, IF(AND('Small Signal'!$B$62&gt;=1,FCCM=0),V91+0,S91+0), 0)</f>
        <v>8.950191935796834</v>
      </c>
      <c r="O91" s="195">
        <f>IF(D$32=1, IF(AND('Small Signal'!$B$62&gt;=1,FCCM=0),W91,T91), 0)</f>
        <v>-12.262805246225799</v>
      </c>
      <c r="P91" s="195">
        <f>IF(AND('Small Signal'!$B$62&gt;=1,FCCM=0),AF91+0,AC91+0)</f>
        <v>43.467020746384975</v>
      </c>
      <c r="Q91" s="195">
        <f>IF(AND('Small Signal'!$B$62&gt;=1,FCCM=0),AG91,AD91)</f>
        <v>91.60675975744519</v>
      </c>
      <c r="R91" s="195" t="str">
        <f>IMDIV(IMSUM('Small Signal'!$B$2*'Small Signal'!$B$39*'Small Signal'!$B$63,IMPRODUCT(M91,'Small Signal'!$B$2*'Small Signal'!$B$39*'Small Signal'!$B$63*'Small Signal'!$B$14*'Small Signal'!$B$15)),IMSUM(IMPRODUCT('Small Signal'!$B$12*'Small Signal'!$B$14*('Small Signal'!$B$15+'Small Signal'!$B$39),IMPOWER(M91,2)),IMSUM(IMPRODUCT(M91,('Small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2.51729493620112-0.508385088250076i</v>
      </c>
      <c r="S91" s="195">
        <f t="shared" si="59"/>
        <v>8.950191935796834</v>
      </c>
      <c r="T91" s="195">
        <f t="shared" si="60"/>
        <v>-12.262805246225799</v>
      </c>
      <c r="U91" s="195" t="str">
        <f>IMDIV(IMSUM('Small Signal'!$B$75,IMPRODUCT(M91,'Small Signal'!$B$76)),IMSUM(IMPRODUCT('Small Signal'!$B$79,IMPOWER(M91,2)),IMSUM(IMPRODUCT(M91,'Small Signal'!$B$78),'Small Signal'!$B$77)))</f>
        <v>3.00519514644435-0.467230485712598i</v>
      </c>
      <c r="V91" s="195">
        <f t="shared" si="37"/>
        <v>9.661183597892256</v>
      </c>
      <c r="W91" s="195">
        <f t="shared" si="38"/>
        <v>-8.8372665498063352</v>
      </c>
      <c r="X91" s="195" t="str">
        <f>IMPRODUCT(IMDIV(IMSUM(IMPRODUCT(M91,'Small Signal'!$B$58*'Small Signal'!$B$6*'Small Signal'!$B$51*'Small Signal'!$B$7*'Small Signal'!$B$8),'Small Signal'!$B$58*'Small Signal'!$B$6*'Small Signal'!$B$51),IMSUM(IMSUM(IMPRODUCT(M91,('Small Signal'!$B$5+'Small Signal'!$B$6)*('Small Signal'!$B$57*'Small Signal'!$B$58)+'Small Signal'!$B$5*'Small Signal'!$B$58*('Small Signal'!$B$8+'Small Signal'!$B$9)+'Small Signal'!$B$6*'Small Signal'!$B$58*('Small Signal'!$B$8+'Small Signal'!$B$9)+'Small Signal'!$B$7*'Small Signal'!$B$8*('Small Signal'!$B$5+'Small Signal'!$B$6)),'Small Signal'!$B$6+'Small Signal'!$B$5),IMPRODUCT(IMPOWER(M91,2),'Small Signal'!$B$57*'Small Signal'!$B$58*'Small Signal'!$B$8*'Small Signal'!$B$7*('Small Signal'!$B$5+'Small Signal'!$B$6)+('Small Signal'!$B$5+'Small Signal'!$B$6)*('Small Signal'!$B$9*'Small Signal'!$B$8*'Small Signal'!$B$58*'Small Signal'!$B$7)))),-1)</f>
        <v>-12.563088030935+51.6855587967403i</v>
      </c>
      <c r="Y91" s="195">
        <f t="shared" si="39"/>
        <v>34.516828810588144</v>
      </c>
      <c r="Z91" s="195">
        <f t="shared" si="40"/>
        <v>103.86956500367098</v>
      </c>
      <c r="AA91" s="195" t="str">
        <f t="shared" si="41"/>
        <v>1.0000105890082+0.00362608477194116i</v>
      </c>
      <c r="AB91" s="195" t="str">
        <f t="shared" si="42"/>
        <v>-4.17948168191054+148.997933533164i</v>
      </c>
      <c r="AC91" s="192">
        <f t="shared" si="43"/>
        <v>43.467020746384975</v>
      </c>
      <c r="AD91" s="195">
        <f t="shared" si="44"/>
        <v>91.60675975744519</v>
      </c>
      <c r="AE91" s="195" t="str">
        <f t="shared" si="45"/>
        <v>-13.605462433991+161.195048159972i</v>
      </c>
      <c r="AF91" s="192">
        <f t="shared" si="46"/>
        <v>44.177863332425574</v>
      </c>
      <c r="AG91" s="195">
        <f t="shared" si="47"/>
        <v>94.824542210755851</v>
      </c>
      <c r="AI91" s="195" t="str">
        <f t="shared" si="48"/>
        <v>0.002-0.859257772561541i</v>
      </c>
      <c r="AJ91" s="195">
        <f t="shared" si="49"/>
        <v>0.22500000000000001</v>
      </c>
      <c r="AK91" s="195" t="str">
        <f t="shared" si="50"/>
        <v>0.0375-1718.51554512308i</v>
      </c>
      <c r="AL91" s="195" t="str">
        <f t="shared" si="51"/>
        <v>0.210437122318105-0.0550974535787473i</v>
      </c>
      <c r="AM91" s="195" t="str">
        <f t="shared" si="52"/>
        <v>0.898501942434565-0.000705149699152678i</v>
      </c>
      <c r="AN91" s="195" t="str">
        <f t="shared" si="53"/>
        <v>0.006+0.00801593575523636i</v>
      </c>
      <c r="AO91" s="195" t="str">
        <f t="shared" si="54"/>
        <v>2.73833005954212-0.595190618618864i</v>
      </c>
      <c r="AP91" s="195">
        <f t="shared" si="61"/>
        <v>8.950191935796834</v>
      </c>
      <c r="AQ91" s="195">
        <f t="shared" si="62"/>
        <v>-12.262805246225799</v>
      </c>
      <c r="AS91" s="195" t="str">
        <f t="shared" si="55"/>
        <v>0.921950621638313-0.000742435314767702i</v>
      </c>
      <c r="AT91" s="195" t="str">
        <f t="shared" si="56"/>
        <v>2.75149542640171-0.600556792496466i</v>
      </c>
      <c r="AU91" s="195">
        <f t="shared" si="63"/>
        <v>8.9934960889312201</v>
      </c>
      <c r="AV91" s="195">
        <f t="shared" si="64"/>
        <v>-12.31259780147502</v>
      </c>
    </row>
    <row r="92" spans="1:48" x14ac:dyDescent="0.2">
      <c r="F92" s="195">
        <v>90</v>
      </c>
      <c r="G92" s="210">
        <f t="shared" si="33"/>
        <v>168.85163979959697</v>
      </c>
      <c r="H92" s="210">
        <f t="shared" si="34"/>
        <v>168.57881372500071</v>
      </c>
      <c r="I92" s="196">
        <f t="shared" si="35"/>
        <v>1</v>
      </c>
      <c r="J92" s="195">
        <f t="shared" si="57"/>
        <v>1</v>
      </c>
      <c r="K92" s="195">
        <f t="shared" si="58"/>
        <v>1</v>
      </c>
      <c r="L92" s="195">
        <f>10^('Small Signal'!F92/30)</f>
        <v>1000</v>
      </c>
      <c r="M92" s="195" t="str">
        <f t="shared" si="36"/>
        <v>6283.18530717959i</v>
      </c>
      <c r="N92" s="195">
        <f>IF(D$32=1, IF(AND('Small Signal'!$B$62&gt;=1,FCCM=0),V92+0,S92+0), 0)</f>
        <v>8.9196913056863139</v>
      </c>
      <c r="O92" s="195">
        <f>IF(D$32=1, IF(AND('Small Signal'!$B$62&gt;=1,FCCM=0),W92,T92), 0)</f>
        <v>-13.210918048698632</v>
      </c>
      <c r="P92" s="195">
        <f>IF(AND('Small Signal'!$B$62&gt;=1,FCCM=0),AF92+0,AC92+0)</f>
        <v>42.789362340948031</v>
      </c>
      <c r="Q92" s="195">
        <f>IF(AND('Small Signal'!$B$62&gt;=1,FCCM=0),AG92,AD92)</f>
        <v>90.718670234119799</v>
      </c>
      <c r="R92" s="195" t="str">
        <f>IMDIV(IMSUM('Small Signal'!$B$2*'Small Signal'!$B$39*'Small Signal'!$B$63,IMPRODUCT(M92,'Small Signal'!$B$2*'Small Signal'!$B$39*'Small Signal'!$B$63*'Small Signal'!$B$14*'Small Signal'!$B$15)),IMSUM(IMPRODUCT('Small Signal'!$B$12*'Small Signal'!$B$14*('Small Signal'!$B$15+'Small Signal'!$B$39),IMPOWER(M92,2)),IMSUM(IMPRODUCT(M92,('Small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2.50180410215769-0.545750775090295i</v>
      </c>
      <c r="S92" s="195">
        <f t="shared" si="59"/>
        <v>8.9196913056863139</v>
      </c>
      <c r="T92" s="195">
        <f t="shared" si="60"/>
        <v>-13.210918048698632</v>
      </c>
      <c r="U92" s="195" t="str">
        <f>IMDIV(IMSUM('Small Signal'!$B$75,IMPRODUCT(M92,'Small Signal'!$B$76)),IMSUM(IMPRODUCT('Small Signal'!$B$79,IMPOWER(M92,2)),IMSUM(IMPRODUCT(M92,'Small Signal'!$B$78),'Small Signal'!$B$77)))</f>
        <v>2.9958931416454-0.503379311384824i</v>
      </c>
      <c r="V92" s="195">
        <f t="shared" si="37"/>
        <v>9.651436554205139</v>
      </c>
      <c r="W92" s="195">
        <f t="shared" si="38"/>
        <v>-9.5379240433820502</v>
      </c>
      <c r="X92" s="195" t="str">
        <f>IMPRODUCT(IMDIV(IMSUM(IMPRODUCT(M92,'Small Signal'!$B$58*'Small Signal'!$B$6*'Small Signal'!$B$51*'Small Signal'!$B$7*'Small Signal'!$B$8),'Small Signal'!$B$58*'Small Signal'!$B$6*'Small Signal'!$B$51),IMSUM(IMSUM(IMPRODUCT(M92,('Small Signal'!$B$5+'Small Signal'!$B$6)*('Small Signal'!$B$57*'Small Signal'!$B$58)+'Small Signal'!$B$5*'Small Signal'!$B$58*('Small Signal'!$B$8+'Small Signal'!$B$9)+'Small Signal'!$B$6*'Small Signal'!$B$58*('Small Signal'!$B$8+'Small Signal'!$B$9)+'Small Signal'!$B$7*'Small Signal'!$B$8*('Small Signal'!$B$5+'Small Signal'!$B$6)),'Small Signal'!$B$6+'Small Signal'!$B$5),IMPRODUCT(IMPOWER(M92,2),'Small Signal'!$B$57*'Small Signal'!$B$58*'Small Signal'!$B$8*'Small Signal'!$B$7*('Small Signal'!$B$5+'Small Signal'!$B$6)+('Small Signal'!$B$5+'Small Signal'!$B$6)*('Small Signal'!$B$9*'Small Signal'!$B$8*'Small Signal'!$B$58*'Small Signal'!$B$7)))),-1)</f>
        <v>-11.6974179647077+47.9656025423132i</v>
      </c>
      <c r="Y92" s="195">
        <f t="shared" si="39"/>
        <v>33.869671035261717</v>
      </c>
      <c r="Z92" s="195">
        <f t="shared" si="40"/>
        <v>103.92958828281843</v>
      </c>
      <c r="AA92" s="195" t="str">
        <f t="shared" si="41"/>
        <v>1.00001234585969+0.00391535073354356i</v>
      </c>
      <c r="AB92" s="195" t="str">
        <f t="shared" si="42"/>
        <v>-1.72927377062295+137.858628061991i</v>
      </c>
      <c r="AC92" s="192">
        <f t="shared" si="43"/>
        <v>42.789362340948031</v>
      </c>
      <c r="AD92" s="195">
        <f t="shared" si="44"/>
        <v>90.718670234119799</v>
      </c>
      <c r="AE92" s="195" t="str">
        <f t="shared" si="45"/>
        <v>-10.8993222775197+149.58805789146i</v>
      </c>
      <c r="AF92" s="192">
        <f t="shared" si="46"/>
        <v>43.520933780288466</v>
      </c>
      <c r="AG92" s="195">
        <f t="shared" si="47"/>
        <v>94.16733508292819</v>
      </c>
      <c r="AI92" s="195" t="str">
        <f t="shared" si="48"/>
        <v>0.002-0.795774715459475i</v>
      </c>
      <c r="AJ92" s="195">
        <f t="shared" si="49"/>
        <v>0.22500000000000001</v>
      </c>
      <c r="AK92" s="195" t="str">
        <f t="shared" si="50"/>
        <v>0.0375-1591.54943091895i</v>
      </c>
      <c r="AL92" s="195" t="str">
        <f t="shared" si="51"/>
        <v>0.208202910645784-0.0588552251289947i</v>
      </c>
      <c r="AM92" s="195" t="str">
        <f t="shared" si="52"/>
        <v>0.898501850616655-0.000761403053060137i</v>
      </c>
      <c r="AN92" s="195" t="str">
        <f t="shared" si="53"/>
        <v>0.006+0.00865540833131882i</v>
      </c>
      <c r="AO92" s="195" t="str">
        <f t="shared" si="54"/>
        <v>2.71854358810062-0.638175199489819i</v>
      </c>
      <c r="AP92" s="195">
        <f t="shared" si="61"/>
        <v>8.9196913056863139</v>
      </c>
      <c r="AQ92" s="195">
        <f t="shared" si="62"/>
        <v>-13.210918048698632</v>
      </c>
      <c r="AS92" s="195" t="str">
        <f t="shared" si="55"/>
        <v>0.921950522442501-0.000801663126267443i</v>
      </c>
      <c r="AT92" s="195" t="str">
        <f t="shared" si="56"/>
        <v>2.73143438221551-0.643882251573788i</v>
      </c>
      <c r="AU92" s="195">
        <f t="shared" si="63"/>
        <v>8.9626810695581884</v>
      </c>
      <c r="AV92" s="195">
        <f t="shared" si="64"/>
        <v>-13.264206047132459</v>
      </c>
    </row>
    <row r="93" spans="1:48" x14ac:dyDescent="0.2">
      <c r="F93" s="195">
        <v>91</v>
      </c>
      <c r="G93" s="210">
        <f t="shared" si="33"/>
        <v>168.87340257868954</v>
      </c>
      <c r="H93" s="210">
        <f t="shared" si="34"/>
        <v>168.57881372500071</v>
      </c>
      <c r="I93" s="196">
        <f t="shared" si="35"/>
        <v>1</v>
      </c>
      <c r="J93" s="195">
        <f t="shared" si="57"/>
        <v>1</v>
      </c>
      <c r="K93" s="195">
        <f t="shared" si="58"/>
        <v>1</v>
      </c>
      <c r="L93" s="195">
        <f>10^('Small Signal'!F93/30)</f>
        <v>1079.7751623277097</v>
      </c>
      <c r="M93" s="195" t="str">
        <f t="shared" si="36"/>
        <v>6784.42743499492i</v>
      </c>
      <c r="N93" s="195">
        <f>IF(D$32=1, IF(AND('Small Signal'!$B$62&gt;=1,FCCM=0),V93+0,S93+0), 0)</f>
        <v>8.8843977981078908</v>
      </c>
      <c r="O93" s="195">
        <f>IF(D$32=1, IF(AND('Small Signal'!$B$62&gt;=1,FCCM=0),W93,T93), 0)</f>
        <v>-14.227202958741806</v>
      </c>
      <c r="P93" s="195">
        <f>IF(AND('Small Signal'!$B$62&gt;=1,FCCM=0),AF93+0,AC93+0)</f>
        <v>42.107457455175805</v>
      </c>
      <c r="Q93" s="195">
        <f>IF(AND('Small Signal'!$B$62&gt;=1,FCCM=0),AG93,AD93)</f>
        <v>89.841235945242204</v>
      </c>
      <c r="R93" s="195" t="str">
        <f>IMDIV(IMSUM('Small Signal'!$B$2*'Small Signal'!$B$39*'Small Signal'!$B$63,IMPRODUCT(M93,'Small Signal'!$B$2*'Small Signal'!$B$39*'Small Signal'!$B$63*'Small Signal'!$B$14*'Small Signal'!$B$15)),IMSUM(IMPRODUCT('Small Signal'!$B$12*'Small Signal'!$B$14*('Small Signal'!$B$15+'Small Signal'!$B$39),IMPOWER(M93,2)),IMSUM(IMPRODUCT(M93,('Small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2.48396811698321-0.585321161827021i</v>
      </c>
      <c r="S93" s="195">
        <f t="shared" si="59"/>
        <v>8.8843977981078908</v>
      </c>
      <c r="T93" s="195">
        <f t="shared" si="60"/>
        <v>-14.227202958741806</v>
      </c>
      <c r="U93" s="195" t="str">
        <f>IMDIV(IMSUM('Small Signal'!$B$75,IMPRODUCT(M93,'Small Signal'!$B$76)),IMSUM(IMPRODUCT('Small Signal'!$B$79,IMPOWER(M93,2)),IMSUM(IMPRODUCT(M93,'Small Signal'!$B$78),'Small Signal'!$B$77)))</f>
        <v>2.98509420624438-0.542126482058617i</v>
      </c>
      <c r="V93" s="195">
        <f t="shared" si="37"/>
        <v>9.6400909794879439</v>
      </c>
      <c r="W93" s="195">
        <f t="shared" si="38"/>
        <v>-10.293365266496176</v>
      </c>
      <c r="X93" s="195" t="str">
        <f>IMPRODUCT(IMDIV(IMSUM(IMPRODUCT(M93,'Small Signal'!$B$58*'Small Signal'!$B$6*'Small Signal'!$B$51*'Small Signal'!$B$7*'Small Signal'!$B$8),'Small Signal'!$B$58*'Small Signal'!$B$6*'Small Signal'!$B$51),IMSUM(IMSUM(IMPRODUCT(M93,('Small Signal'!$B$5+'Small Signal'!$B$6)*('Small Signal'!$B$57*'Small Signal'!$B$58)+'Small Signal'!$B$5*'Small Signal'!$B$58*('Small Signal'!$B$8+'Small Signal'!$B$9)+'Small Signal'!$B$6*'Small Signal'!$B$58*('Small Signal'!$B$8+'Small Signal'!$B$9)+'Small Signal'!$B$7*'Small Signal'!$B$8*('Small Signal'!$B$5+'Small Signal'!$B$6)),'Small Signal'!$B$6+'Small Signal'!$B$5),IMPRODUCT(IMPOWER(M93,2),'Small Signal'!$B$57*'Small Signal'!$B$58*'Small Signal'!$B$8*'Small Signal'!$B$7*('Small Signal'!$B$5+'Small Signal'!$B$6)+('Small Signal'!$B$5+'Small Signal'!$B$6)*('Small Signal'!$B$9*'Small Signal'!$B$8*'Small Signal'!$B$58*'Small Signal'!$B$7)))),-1)</f>
        <v>-10.9521741670384+44.5013596312697i</v>
      </c>
      <c r="Y93" s="195">
        <f t="shared" si="39"/>
        <v>33.223059657067886</v>
      </c>
      <c r="Z93" s="195">
        <f t="shared" si="40"/>
        <v>104.06843890398402</v>
      </c>
      <c r="AA93" s="195" t="str">
        <f t="shared" si="41"/>
        <v>1.00001439419186+0.00422769149984269i</v>
      </c>
      <c r="AB93" s="195" t="str">
        <f t="shared" si="42"/>
        <v>0.353184687804974+127.459205037036i</v>
      </c>
      <c r="AC93" s="192">
        <f t="shared" si="43"/>
        <v>42.107457455175805</v>
      </c>
      <c r="AD93" s="195">
        <f t="shared" si="44"/>
        <v>89.841235945242204</v>
      </c>
      <c r="AE93" s="195" t="str">
        <f t="shared" si="45"/>
        <v>-8.5679061080801+138.778214457371i</v>
      </c>
      <c r="AF93" s="192">
        <f t="shared" si="46"/>
        <v>42.862947990938821</v>
      </c>
      <c r="AG93" s="195">
        <f t="shared" si="47"/>
        <v>93.532849687173737</v>
      </c>
      <c r="AI93" s="195" t="str">
        <f t="shared" si="48"/>
        <v>0.002-0.736981867358385i</v>
      </c>
      <c r="AJ93" s="195">
        <f t="shared" si="49"/>
        <v>0.22500000000000001</v>
      </c>
      <c r="AK93" s="195" t="str">
        <f t="shared" si="50"/>
        <v>0.0375-1473.96373471677i</v>
      </c>
      <c r="AL93" s="195" t="str">
        <f t="shared" si="51"/>
        <v>0.205657734877661-0.0627660778990086i</v>
      </c>
      <c r="AM93" s="195" t="str">
        <f t="shared" si="52"/>
        <v>0.898501743564855-0.000822144007260643i</v>
      </c>
      <c r="AN93" s="195" t="str">
        <f t="shared" si="53"/>
        <v>0.006+0.00934589493596239i</v>
      </c>
      <c r="AO93" s="195" t="str">
        <f t="shared" si="54"/>
        <v>2.69582064149552-0.683509532907345i</v>
      </c>
      <c r="AP93" s="195">
        <f t="shared" si="61"/>
        <v>8.8843977981078908</v>
      </c>
      <c r="AQ93" s="195">
        <f t="shared" si="62"/>
        <v>-14.227202958741806</v>
      </c>
      <c r="AS93" s="195" t="str">
        <f t="shared" si="55"/>
        <v>0.921950406788703-0.000865615823710637i</v>
      </c>
      <c r="AT93" s="195" t="str">
        <f t="shared" si="56"/>
        <v>2.70839972781647-0.689564616614522i</v>
      </c>
      <c r="AU93" s="195">
        <f t="shared" si="63"/>
        <v>8.9270265936548512</v>
      </c>
      <c r="AV93" s="195">
        <f t="shared" si="64"/>
        <v>-14.284150864376622</v>
      </c>
    </row>
    <row r="94" spans="1:48" x14ac:dyDescent="0.2">
      <c r="F94" s="195">
        <v>92</v>
      </c>
      <c r="G94" s="210">
        <f t="shared" si="33"/>
        <v>168.89690097819414</v>
      </c>
      <c r="H94" s="210">
        <f t="shared" si="34"/>
        <v>168.57881372500071</v>
      </c>
      <c r="I94" s="196">
        <f t="shared" si="35"/>
        <v>1</v>
      </c>
      <c r="J94" s="195">
        <f t="shared" si="57"/>
        <v>1</v>
      </c>
      <c r="K94" s="195">
        <f t="shared" si="58"/>
        <v>1</v>
      </c>
      <c r="L94" s="195">
        <f>10^('Small Signal'!F94/30)</f>
        <v>1165.914401179833</v>
      </c>
      <c r="M94" s="195" t="str">
        <f t="shared" si="36"/>
        <v>7325.65623492221i</v>
      </c>
      <c r="N94" s="195">
        <f>IF(D$32=1, IF(AND('Small Signal'!$B$62&gt;=1,FCCM=0),V94+0,S94+0), 0)</f>
        <v>8.8436064788904609</v>
      </c>
      <c r="O94" s="195">
        <f>IF(D$32=1, IF(AND('Small Signal'!$B$62&gt;=1,FCCM=0),W94,T94), 0)</f>
        <v>-15.315318015146564</v>
      </c>
      <c r="P94" s="195">
        <f>IF(AND('Small Signal'!$B$62&gt;=1,FCCM=0),AF94+0,AC94+0)</f>
        <v>41.421051983058618</v>
      </c>
      <c r="Q94" s="195">
        <f>IF(AND('Small Signal'!$B$62&gt;=1,FCCM=0),AG94,AD94)</f>
        <v>88.971333510166005</v>
      </c>
      <c r="R94" s="195" t="str">
        <f>IMDIV(IMSUM('Small Signal'!$B$2*'Small Signal'!$B$39*'Small Signal'!$B$63,IMPRODUCT(M94,'Small Signal'!$B$2*'Small Signal'!$B$39*'Small Signal'!$B$63*'Small Signal'!$B$14*'Small Signal'!$B$15)),IMSUM(IMPRODUCT('Small Signal'!$B$12*'Small Signal'!$B$14*('Small Signal'!$B$15+'Small Signal'!$B$39),IMPOWER(M94,2)),IMSUM(IMPRODUCT(M94,('Small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2.46347259016021-0.62709308958653i</v>
      </c>
      <c r="S94" s="195">
        <f t="shared" si="59"/>
        <v>8.8436064788904609</v>
      </c>
      <c r="T94" s="195">
        <f t="shared" si="60"/>
        <v>-15.315318015146564</v>
      </c>
      <c r="U94" s="195" t="str">
        <f>IMDIV(IMSUM('Small Signal'!$B$75,IMPRODUCT(M94,'Small Signal'!$B$76)),IMSUM(IMPRODUCT('Small Signal'!$B$79,IMPOWER(M94,2)),IMSUM(IMPRODUCT(M94,'Small Signal'!$B$78),'Small Signal'!$B$77)))</f>
        <v>2.97256624878237-0.583608008815484i</v>
      </c>
      <c r="V94" s="195">
        <f t="shared" si="37"/>
        <v>9.6268882530153199</v>
      </c>
      <c r="W94" s="195">
        <f t="shared" si="38"/>
        <v>-11.107678195551463</v>
      </c>
      <c r="X94" s="195" t="str">
        <f>IMPRODUCT(IMDIV(IMSUM(IMPRODUCT(M94,'Small Signal'!$B$58*'Small Signal'!$B$6*'Small Signal'!$B$51*'Small Signal'!$B$7*'Small Signal'!$B$8),'Small Signal'!$B$58*'Small Signal'!$B$6*'Small Signal'!$B$51),IMSUM(IMSUM(IMPRODUCT(M94,('Small Signal'!$B$5+'Small Signal'!$B$6)*('Small Signal'!$B$57*'Small Signal'!$B$58)+'Small Signal'!$B$5*'Small Signal'!$B$58*('Small Signal'!$B$8+'Small Signal'!$B$9)+'Small Signal'!$B$6*'Small Signal'!$B$58*('Small Signal'!$B$8+'Small Signal'!$B$9)+'Small Signal'!$B$7*'Small Signal'!$B$8*('Small Signal'!$B$5+'Small Signal'!$B$6)),'Small Signal'!$B$6+'Small Signal'!$B$5),IMPRODUCT(IMPOWER(M94,2),'Small Signal'!$B$57*'Small Signal'!$B$58*'Small Signal'!$B$8*'Small Signal'!$B$7*('Small Signal'!$B$5+'Small Signal'!$B$6)+('Small Signal'!$B$5+'Small Signal'!$B$6)*('Small Signal'!$B$9*'Small Signal'!$B$8*'Small Signal'!$B$58*'Small Signal'!$B$7)))),-1)</f>
        <v>-10.3109377402514+41.2778520312253i</v>
      </c>
      <c r="Y94" s="195">
        <f t="shared" si="39"/>
        <v>32.577445504168168</v>
      </c>
      <c r="Z94" s="195">
        <f t="shared" si="40"/>
        <v>104.28665152531256</v>
      </c>
      <c r="AA94" s="195" t="str">
        <f t="shared" si="41"/>
        <v>1.00001678236331+0.00456494749575033i</v>
      </c>
      <c r="AB94" s="195" t="str">
        <f t="shared" si="42"/>
        <v>2.11437116611698+117.755879860727i</v>
      </c>
      <c r="AC94" s="192">
        <f t="shared" si="43"/>
        <v>41.421051983058618</v>
      </c>
      <c r="AD94" s="195">
        <f t="shared" si="44"/>
        <v>88.971333510166005</v>
      </c>
      <c r="AE94" s="195" t="str">
        <f t="shared" si="45"/>
        <v>-6.55986048784409+128.718695613862i</v>
      </c>
      <c r="AF94" s="192">
        <f t="shared" si="46"/>
        <v>42.204097491109167</v>
      </c>
      <c r="AG94" s="195">
        <f t="shared" si="47"/>
        <v>92.917427310639169</v>
      </c>
      <c r="AI94" s="195" t="str">
        <f t="shared" si="48"/>
        <v>0.002-0.682532709651929i</v>
      </c>
      <c r="AJ94" s="195">
        <f t="shared" si="49"/>
        <v>0.22500000000000001</v>
      </c>
      <c r="AK94" s="195" t="str">
        <f t="shared" si="50"/>
        <v>0.0375-1365.06541930386i</v>
      </c>
      <c r="AL94" s="195" t="str">
        <f t="shared" si="51"/>
        <v>0.202768477075012-0.0668118566700219i</v>
      </c>
      <c r="AM94" s="195" t="str">
        <f t="shared" si="52"/>
        <v>0.898501618751652-0.000887730555579656i</v>
      </c>
      <c r="AN94" s="195" t="str">
        <f t="shared" si="53"/>
        <v>0.006+0.0100914652215765i</v>
      </c>
      <c r="AO94" s="195" t="str">
        <f t="shared" si="54"/>
        <v>2.66978709282169-0.731138341733657i</v>
      </c>
      <c r="AP94" s="195">
        <f t="shared" si="61"/>
        <v>8.8436064788904609</v>
      </c>
      <c r="AQ94" s="195">
        <f t="shared" si="62"/>
        <v>-15.315318015146564</v>
      </c>
      <c r="AS94" s="195" t="str">
        <f t="shared" si="55"/>
        <v>0.92195027194631-0.000934670329857795i</v>
      </c>
      <c r="AT94" s="195" t="str">
        <f t="shared" si="56"/>
        <v>2.68201380483676-0.737545058664648i</v>
      </c>
      <c r="AU94" s="195">
        <f t="shared" si="63"/>
        <v>8.8858218204111754</v>
      </c>
      <c r="AV94" s="195">
        <f t="shared" si="64"/>
        <v>-15.376077710058004</v>
      </c>
    </row>
    <row r="95" spans="1:48" x14ac:dyDescent="0.2">
      <c r="F95" s="195">
        <v>93</v>
      </c>
      <c r="G95" s="210">
        <f t="shared" si="33"/>
        <v>168.92227332578358</v>
      </c>
      <c r="H95" s="210">
        <f t="shared" si="34"/>
        <v>168.57881372500071</v>
      </c>
      <c r="I95" s="196">
        <f t="shared" si="35"/>
        <v>1</v>
      </c>
      <c r="J95" s="195">
        <f t="shared" si="57"/>
        <v>1</v>
      </c>
      <c r="K95" s="195">
        <f t="shared" si="58"/>
        <v>1</v>
      </c>
      <c r="L95" s="195">
        <f>10^('Small Signal'!F95/30)</f>
        <v>1258.925411794168</v>
      </c>
      <c r="M95" s="195" t="str">
        <f t="shared" si="36"/>
        <v>7910.06165022013i</v>
      </c>
      <c r="N95" s="195">
        <f>IF(D$32=1, IF(AND('Small Signal'!$B$62&gt;=1,FCCM=0),V95+0,S95+0), 0)</f>
        <v>8.7965246910863613</v>
      </c>
      <c r="O95" s="195">
        <f>IF(D$32=1, IF(AND('Small Signal'!$B$62&gt;=1,FCCM=0),W95,T95), 0)</f>
        <v>-16.478817425331009</v>
      </c>
      <c r="P95" s="195">
        <f>IF(AND('Small Signal'!$B$62&gt;=1,FCCM=0),AF95+0,AC95+0)</f>
        <v>40.729823341871388</v>
      </c>
      <c r="Q95" s="195">
        <f>IF(AND('Small Signal'!$B$62&gt;=1,FCCM=0),AG95,AD95)</f>
        <v>88.106232523957715</v>
      </c>
      <c r="R95" s="195" t="str">
        <f>IMDIV(IMSUM('Small Signal'!$B$2*'Small Signal'!$B$39*'Small Signal'!$B$63,IMPRODUCT(M95,'Small Signal'!$B$2*'Small Signal'!$B$39*'Small Signal'!$B$63*'Small Signal'!$B$14*'Small Signal'!$B$15)),IMSUM(IMPRODUCT('Small Signal'!$B$12*'Small Signal'!$B$14*('Small Signal'!$B$15+'Small Signal'!$B$39),IMPOWER(M95,2)),IMSUM(IMPRODUCT(M95,('Small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2.4399744981119-0.67102606944712i</v>
      </c>
      <c r="S95" s="195">
        <f t="shared" si="59"/>
        <v>8.7965246910863613</v>
      </c>
      <c r="T95" s="195">
        <f t="shared" si="60"/>
        <v>-16.478817425331009</v>
      </c>
      <c r="U95" s="195" t="str">
        <f>IMDIV(IMSUM('Small Signal'!$B$75,IMPRODUCT(M95,'Small Signal'!$B$76)),IMSUM(IMPRODUCT('Small Signal'!$B$79,IMPOWER(M95,2)),IMSUM(IMPRODUCT(M95,'Small Signal'!$B$78),'Small Signal'!$B$77)))</f>
        <v>2.958044286281-0.62795349361718i</v>
      </c>
      <c r="V95" s="195">
        <f t="shared" si="37"/>
        <v>9.6115291582893203</v>
      </c>
      <c r="W95" s="195">
        <f t="shared" si="38"/>
        <v>-11.985206254178292</v>
      </c>
      <c r="X95" s="195" t="str">
        <f>IMPRODUCT(IMDIV(IMSUM(IMPRODUCT(M95,'Small Signal'!$B$58*'Small Signal'!$B$6*'Small Signal'!$B$51*'Small Signal'!$B$7*'Small Signal'!$B$8),'Small Signal'!$B$58*'Small Signal'!$B$6*'Small Signal'!$B$51),IMSUM(IMSUM(IMPRODUCT(M95,('Small Signal'!$B$5+'Small Signal'!$B$6)*('Small Signal'!$B$57*'Small Signal'!$B$58)+'Small Signal'!$B$5*'Small Signal'!$B$58*('Small Signal'!$B$8+'Small Signal'!$B$9)+'Small Signal'!$B$6*'Small Signal'!$B$58*('Small Signal'!$B$8+'Small Signal'!$B$9)+'Small Signal'!$B$7*'Small Signal'!$B$8*('Small Signal'!$B$5+'Small Signal'!$B$6)),'Small Signal'!$B$6+'Small Signal'!$B$5),IMPRODUCT(IMPOWER(M95,2),'Small Signal'!$B$57*'Small Signal'!$B$58*'Small Signal'!$B$8*'Small Signal'!$B$7*('Small Signal'!$B$5+'Small Signal'!$B$6)+('Small Signal'!$B$5+'Small Signal'!$B$6)*('Small Signal'!$B$9*'Small Signal'!$B$8*'Small Signal'!$B$58*'Small Signal'!$B$7)))),-1)</f>
        <v>-9.75944000383739+38.2804367610036i</v>
      </c>
      <c r="Y95" s="195">
        <f t="shared" si="39"/>
        <v>31.933298650785012</v>
      </c>
      <c r="Z95" s="195">
        <f t="shared" si="40"/>
        <v>104.5850499492887</v>
      </c>
      <c r="AA95" s="195" t="str">
        <f t="shared" si="41"/>
        <v>1.00001956675519+0.00492910587021954i</v>
      </c>
      <c r="AB95" s="195" t="str">
        <f t="shared" si="42"/>
        <v>3.5943147911224+108.70609569829i</v>
      </c>
      <c r="AC95" s="192">
        <f t="shared" si="43"/>
        <v>40.729823341871388</v>
      </c>
      <c r="AD95" s="195">
        <f t="shared" si="44"/>
        <v>88.106232523957715</v>
      </c>
      <c r="AE95" s="195" t="str">
        <f t="shared" si="45"/>
        <v>-4.83052173938967+119.363701683385i</v>
      </c>
      <c r="AF95" s="192">
        <f t="shared" si="46"/>
        <v>41.544552344916632</v>
      </c>
      <c r="AG95" s="195">
        <f t="shared" si="47"/>
        <v>92.317434544890347</v>
      </c>
      <c r="AI95" s="195" t="str">
        <f t="shared" si="48"/>
        <v>0.002-0.632106324969141i</v>
      </c>
      <c r="AJ95" s="195">
        <f t="shared" si="49"/>
        <v>0.22500000000000001</v>
      </c>
      <c r="AK95" s="195" t="str">
        <f t="shared" si="50"/>
        <v>0.0375-1264.21264993829i</v>
      </c>
      <c r="AL95" s="195" t="str">
        <f t="shared" si="51"/>
        <v>0.199501665286857-0.0709680400464025i</v>
      </c>
      <c r="AM95" s="195" t="str">
        <f t="shared" si="52"/>
        <v>0.898501473230186-0.000958549249507469i</v>
      </c>
      <c r="AN95" s="195" t="str">
        <f t="shared" si="53"/>
        <v>0.006+0.0108965134977522i</v>
      </c>
      <c r="AO95" s="195" t="str">
        <f t="shared" si="54"/>
        <v>2.64004133681153-0.780954309197028i</v>
      </c>
      <c r="AP95" s="195">
        <f t="shared" si="61"/>
        <v>8.7965246910863613</v>
      </c>
      <c r="AQ95" s="195">
        <f t="shared" si="62"/>
        <v>-16.478817425331009</v>
      </c>
      <c r="AS95" s="195" t="str">
        <f t="shared" si="55"/>
        <v>0.921950114731672-0.00100923363504651i</v>
      </c>
      <c r="AT95" s="195" t="str">
        <f t="shared" si="56"/>
        <v>2.65187163226813-0.787711779602294i</v>
      </c>
      <c r="AU95" s="195">
        <f t="shared" si="63"/>
        <v>8.8382677630168338</v>
      </c>
      <c r="AV95" s="195">
        <f t="shared" si="64"/>
        <v>-16.543522171663334</v>
      </c>
    </row>
    <row r="96" spans="1:48" x14ac:dyDescent="0.2">
      <c r="F96" s="195">
        <v>94</v>
      </c>
      <c r="G96" s="210">
        <f t="shared" si="33"/>
        <v>168.94966895014471</v>
      </c>
      <c r="H96" s="210">
        <f t="shared" si="34"/>
        <v>168.57881372500071</v>
      </c>
      <c r="I96" s="196">
        <f t="shared" si="35"/>
        <v>1</v>
      </c>
      <c r="J96" s="195">
        <f t="shared" si="57"/>
        <v>1</v>
      </c>
      <c r="K96" s="195">
        <f t="shared" si="58"/>
        <v>1</v>
      </c>
      <c r="L96" s="195">
        <f>10^('Small Signal'!F96/30)</f>
        <v>1359.3563908785268</v>
      </c>
      <c r="M96" s="195" t="str">
        <f t="shared" si="36"/>
        <v>8541.08810238863i</v>
      </c>
      <c r="N96" s="195">
        <f>IF(D$32=1, IF(AND('Small Signal'!$B$62&gt;=1,FCCM=0),V96+0,S96+0), 0)</f>
        <v>8.7422663227619388</v>
      </c>
      <c r="O96" s="195">
        <f>IF(D$32=1, IF(AND('Small Signal'!$B$62&gt;=1,FCCM=0),W96,T96), 0)</f>
        <v>-17.721067626257298</v>
      </c>
      <c r="P96" s="195">
        <f>IF(AND('Small Signal'!$B$62&gt;=1,FCCM=0),AF96+0,AC96+0)</f>
        <v>40.033383447738011</v>
      </c>
      <c r="Q96" s="195">
        <f>IF(AND('Small Signal'!$B$62&gt;=1,FCCM=0),AG96,AD96)</f>
        <v>87.243663277870141</v>
      </c>
      <c r="R96" s="195" t="str">
        <f>IMDIV(IMSUM('Small Signal'!$B$2*'Small Signal'!$B$39*'Small Signal'!$B$63,IMPRODUCT(M96,'Small Signal'!$B$2*'Small Signal'!$B$39*'Small Signal'!$B$63*'Small Signal'!$B$14*'Small Signal'!$B$15)),IMSUM(IMPRODUCT('Small Signal'!$B$12*'Small Signal'!$B$14*('Small Signal'!$B$15+'Small Signal'!$B$39),IMPOWER(M96,2)),IMSUM(IMPRODUCT(M96,('Small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2.41310416763444-0.717033416661242i</v>
      </c>
      <c r="S96" s="195">
        <f t="shared" si="59"/>
        <v>8.7422663227619388</v>
      </c>
      <c r="T96" s="195">
        <f t="shared" si="60"/>
        <v>-17.721067626257298</v>
      </c>
      <c r="U96" s="195" t="str">
        <f>IMDIV(IMSUM('Small Signal'!$B$75,IMPRODUCT(M96,'Small Signal'!$B$76)),IMSUM(IMPRODUCT('Small Signal'!$B$79,IMPOWER(M96,2)),IMSUM(IMPRODUCT(M96,'Small Signal'!$B$78),'Small Signal'!$B$77)))</f>
        <v>2.94122687471518-0.675281682355098i</v>
      </c>
      <c r="V96" s="195">
        <f t="shared" si="37"/>
        <v>9.5936679457562164</v>
      </c>
      <c r="W96" s="195">
        <f t="shared" si="38"/>
        <v>-12.930551502764288</v>
      </c>
      <c r="X96" s="195" t="str">
        <f>IMPRODUCT(IMDIV(IMSUM(IMPRODUCT(M96,'Small Signal'!$B$58*'Small Signal'!$B$6*'Small Signal'!$B$51*'Small Signal'!$B$7*'Small Signal'!$B$8),'Small Signal'!$B$58*'Small Signal'!$B$6*'Small Signal'!$B$51),IMSUM(IMSUM(IMPRODUCT(M96,('Small Signal'!$B$5+'Small Signal'!$B$6)*('Small Signal'!$B$57*'Small Signal'!$B$58)+'Small Signal'!$B$5*'Small Signal'!$B$58*('Small Signal'!$B$8+'Small Signal'!$B$9)+'Small Signal'!$B$6*'Small Signal'!$B$58*('Small Signal'!$B$8+'Small Signal'!$B$9)+'Small Signal'!$B$7*'Small Signal'!$B$8*('Small Signal'!$B$5+'Small Signal'!$B$6)),'Small Signal'!$B$6+'Small Signal'!$B$5),IMPRODUCT(IMPOWER(M96,2),'Small Signal'!$B$57*'Small Signal'!$B$58*'Small Signal'!$B$8*'Small Signal'!$B$7*('Small Signal'!$B$5+'Small Signal'!$B$6)+('Small Signal'!$B$5+'Small Signal'!$B$6)*('Small Signal'!$B$9*'Small Signal'!$B$8*'Small Signal'!$B$58*'Small Signal'!$B$7)))),-1)</f>
        <v>-9.28530430998242+35.49493154176i</v>
      </c>
      <c r="Y96" s="195">
        <f t="shared" si="39"/>
        <v>31.291117124976086</v>
      </c>
      <c r="Z96" s="195">
        <f t="shared" si="40"/>
        <v>104.96473090412744</v>
      </c>
      <c r="AA96" s="195" t="str">
        <f t="shared" si="41"/>
        <v>1.00002281310202+0.00532231217628441i</v>
      </c>
      <c r="AB96" s="195" t="str">
        <f t="shared" si="42"/>
        <v>4.82737774279789+100.268942589022i</v>
      </c>
      <c r="AC96" s="192">
        <f t="shared" si="43"/>
        <v>40.033383447738011</v>
      </c>
      <c r="AD96" s="195">
        <f t="shared" si="44"/>
        <v>87.243663277870141</v>
      </c>
      <c r="AE96" s="195" t="str">
        <f t="shared" si="45"/>
        <v>-3.34110948983026+110.668842482424i</v>
      </c>
      <c r="AF96" s="192">
        <f t="shared" si="46"/>
        <v>40.884463905633282</v>
      </c>
      <c r="AG96" s="195">
        <f t="shared" si="47"/>
        <v>91.72924321217377</v>
      </c>
      <c r="AI96" s="195" t="str">
        <f t="shared" si="48"/>
        <v>0.002-0.585405505722587i</v>
      </c>
      <c r="AJ96" s="195">
        <f t="shared" si="49"/>
        <v>0.22500000000000001</v>
      </c>
      <c r="AK96" s="195" t="str">
        <f t="shared" si="50"/>
        <v>0.0375-1170.81101144518i</v>
      </c>
      <c r="AL96" s="195" t="str">
        <f t="shared" si="51"/>
        <v>0.195824564045486-0.0752029738480781i</v>
      </c>
      <c r="AM96" s="195" t="str">
        <f t="shared" si="52"/>
        <v>0.898501303564672-0.00103501747604194i</v>
      </c>
      <c r="AN96" s="195" t="str">
        <f t="shared" si="53"/>
        <v>0.006+0.0117657846308415i</v>
      </c>
      <c r="AO96" s="195" t="str">
        <f t="shared" si="54"/>
        <v>2.60615910742746-0.832787475430357i</v>
      </c>
      <c r="AP96" s="195">
        <f t="shared" si="61"/>
        <v>8.7422663227619388</v>
      </c>
      <c r="AQ96" s="195">
        <f t="shared" si="62"/>
        <v>-17.721067626257298</v>
      </c>
      <c r="AS96" s="195" t="str">
        <f t="shared" si="55"/>
        <v>0.921949931432928-0.00108974519544975i</v>
      </c>
      <c r="AT96" s="195" t="str">
        <f t="shared" si="56"/>
        <v>2.61754591847026-0.839889317086328i</v>
      </c>
      <c r="AU96" s="195">
        <f t="shared" si="63"/>
        <v>8.7834716368842329</v>
      </c>
      <c r="AV96" s="195">
        <f t="shared" si="64"/>
        <v>-17.789824868611728</v>
      </c>
    </row>
    <row r="97" spans="6:48" x14ac:dyDescent="0.2">
      <c r="F97" s="195">
        <v>95</v>
      </c>
      <c r="G97" s="210">
        <f t="shared" si="33"/>
        <v>168.97924904976176</v>
      </c>
      <c r="H97" s="210">
        <f t="shared" si="34"/>
        <v>168.57881372500071</v>
      </c>
      <c r="I97" s="196">
        <f t="shared" si="35"/>
        <v>1</v>
      </c>
      <c r="J97" s="195">
        <f t="shared" si="57"/>
        <v>1</v>
      </c>
      <c r="K97" s="195">
        <f t="shared" si="58"/>
        <v>1</v>
      </c>
      <c r="L97" s="195">
        <f>10^('Small Signal'!F97/30)</f>
        <v>1467.7992676220699</v>
      </c>
      <c r="M97" s="195" t="str">
        <f t="shared" si="36"/>
        <v>9222.45479221195i</v>
      </c>
      <c r="N97" s="195">
        <f>IF(D$32=1, IF(AND('Small Signal'!$B$62&gt;=1,FCCM=0),V97+0,S97+0), 0)</f>
        <v>8.6798474528083798</v>
      </c>
      <c r="O97" s="195">
        <f>IF(D$32=1, IF(AND('Small Signal'!$B$62&gt;=1,FCCM=0),W97,T97), 0)</f>
        <v>-19.045147239750971</v>
      </c>
      <c r="P97" s="195">
        <f>IF(AND('Small Signal'!$B$62&gt;=1,FCCM=0),AF97+0,AC97+0)</f>
        <v>39.331283177506208</v>
      </c>
      <c r="Q97" s="195">
        <f>IF(AND('Small Signal'!$B$62&gt;=1,FCCM=0),AG97,AD97)</f>
        <v>86.381893524556347</v>
      </c>
      <c r="R97" s="195" t="str">
        <f>IMDIV(IMSUM('Small Signal'!$B$2*'Small Signal'!$B$39*'Small Signal'!$B$63,IMPRODUCT(M97,'Small Signal'!$B$2*'Small Signal'!$B$39*'Small Signal'!$B$63*'Small Signal'!$B$14*'Small Signal'!$B$15)),IMSUM(IMPRODUCT('Small Signal'!$B$12*'Small Signal'!$B$14*('Small Signal'!$B$15+'Small Signal'!$B$39),IMPOWER(M97,2)),IMSUM(IMPRODUCT(M97,('Small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2.38246916576812-0.764972502762463i</v>
      </c>
      <c r="S97" s="195">
        <f t="shared" si="59"/>
        <v>8.6798474528083798</v>
      </c>
      <c r="T97" s="195">
        <f t="shared" si="60"/>
        <v>-19.045147239750971</v>
      </c>
      <c r="U97" s="195" t="str">
        <f>IMDIV(IMSUM('Small Signal'!$B$75,IMPRODUCT(M97,'Small Signal'!$B$76)),IMSUM(IMPRODUCT('Small Signal'!$B$79,IMPOWER(M97,2)),IMSUM(IMPRODUCT(M97,'Small Signal'!$B$78),'Small Signal'!$B$77)))</f>
        <v>2.92177255325542-0.725694876063059i</v>
      </c>
      <c r="V97" s="195">
        <f t="shared" si="37"/>
        <v>9.5729056786384188</v>
      </c>
      <c r="W97" s="195">
        <f t="shared" si="38"/>
        <v>-13.948574126123939</v>
      </c>
      <c r="X97" s="195" t="str">
        <f>IMPRODUCT(IMDIV(IMSUM(IMPRODUCT(M97,'Small Signal'!$B$58*'Small Signal'!$B$6*'Small Signal'!$B$51*'Small Signal'!$B$7*'Small Signal'!$B$8),'Small Signal'!$B$58*'Small Signal'!$B$6*'Small Signal'!$B$51),IMSUM(IMSUM(IMPRODUCT(M97,('Small Signal'!$B$5+'Small Signal'!$B$6)*('Small Signal'!$B$57*'Small Signal'!$B$58)+'Small Signal'!$B$5*'Small Signal'!$B$58*('Small Signal'!$B$8+'Small Signal'!$B$9)+'Small Signal'!$B$6*'Small Signal'!$B$58*('Small Signal'!$B$8+'Small Signal'!$B$9)+'Small Signal'!$B$7*'Small Signal'!$B$8*('Small Signal'!$B$5+'Small Signal'!$B$6)),'Small Signal'!$B$6+'Small Signal'!$B$5),IMPRODUCT(IMPOWER(M97,2),'Small Signal'!$B$57*'Small Signal'!$B$58*'Small Signal'!$B$8*'Small Signal'!$B$7*('Small Signal'!$B$5+'Small Signal'!$B$6)+('Small Signal'!$B$5+'Small Signal'!$B$6)*('Small Signal'!$B$9*'Small Signal'!$B$8*'Small Signal'!$B$58*'Small Signal'!$B$7)))),-1)</f>
        <v>-8.87781246503761+32.9077029787008i</v>
      </c>
      <c r="Y97" s="195">
        <f t="shared" si="39"/>
        <v>30.651435724697834</v>
      </c>
      <c r="Z97" s="195">
        <f t="shared" si="40"/>
        <v>105.42704076430729</v>
      </c>
      <c r="AA97" s="195" t="str">
        <f t="shared" si="41"/>
        <v>1.0000265980431+0.00574688297643158i</v>
      </c>
      <c r="AB97" s="195" t="str">
        <f t="shared" si="42"/>
        <v>5.84297725115867+92.4054688265582i</v>
      </c>
      <c r="AC97" s="192">
        <f t="shared" si="43"/>
        <v>39.331283177506208</v>
      </c>
      <c r="AD97" s="195">
        <f t="shared" si="44"/>
        <v>86.381893524556347</v>
      </c>
      <c r="AE97" s="195" t="str">
        <f t="shared" si="45"/>
        <v>-2.0579973586475+102.591406370376i</v>
      </c>
      <c r="AF97" s="192">
        <f t="shared" si="46"/>
        <v>40.223966955760623</v>
      </c>
      <c r="AG97" s="195">
        <f t="shared" si="47"/>
        <v>91.149206880598939</v>
      </c>
      <c r="AI97" s="195" t="str">
        <f t="shared" si="48"/>
        <v>0.002-0.542155002399397i</v>
      </c>
      <c r="AJ97" s="195">
        <f t="shared" si="49"/>
        <v>0.22500000000000001</v>
      </c>
      <c r="AK97" s="195" t="str">
        <f t="shared" si="50"/>
        <v>0.0375-1084.31000479879i</v>
      </c>
      <c r="AL97" s="195" t="str">
        <f t="shared" si="51"/>
        <v>0.191706570772139-0.0794772547356093i</v>
      </c>
      <c r="AM97" s="195" t="str">
        <f t="shared" si="52"/>
        <v>0.898501105749286-0.00111758591715577i</v>
      </c>
      <c r="AN97" s="195" t="str">
        <f t="shared" si="53"/>
        <v>0.006+0.0127044020096797i</v>
      </c>
      <c r="AO97" s="195" t="str">
        <f t="shared" si="54"/>
        <v>2.5677010269199-0.886394128593253i</v>
      </c>
      <c r="AP97" s="195">
        <f t="shared" si="61"/>
        <v>8.6798474528083798</v>
      </c>
      <c r="AQ97" s="195">
        <f t="shared" si="62"/>
        <v>-19.045147239750971</v>
      </c>
      <c r="AS97" s="195" t="str">
        <f t="shared" si="55"/>
        <v>0.921949717722377-0.00117667952255495i</v>
      </c>
      <c r="AT97" s="195" t="str">
        <f t="shared" si="56"/>
        <v>2.57859485501637-0.893827375657497i</v>
      </c>
      <c r="AU97" s="195">
        <f t="shared" si="63"/>
        <v>8.7204426301501812</v>
      </c>
      <c r="AV97" s="195">
        <f t="shared" si="64"/>
        <v>-19.118030193427025</v>
      </c>
    </row>
    <row r="98" spans="6:48" x14ac:dyDescent="0.2">
      <c r="F98" s="195">
        <v>96</v>
      </c>
      <c r="G98" s="210">
        <f t="shared" si="33"/>
        <v>169.0111876287238</v>
      </c>
      <c r="H98" s="210">
        <f t="shared" si="34"/>
        <v>168.57881372500071</v>
      </c>
      <c r="I98" s="196">
        <f t="shared" si="35"/>
        <v>1</v>
      </c>
      <c r="J98" s="195">
        <f t="shared" si="57"/>
        <v>1</v>
      </c>
      <c r="K98" s="195">
        <f t="shared" si="58"/>
        <v>1</v>
      </c>
      <c r="L98" s="195">
        <f>10^('Small Signal'!F98/30)</f>
        <v>1584.8931924611156</v>
      </c>
      <c r="M98" s="195" t="str">
        <f t="shared" si="36"/>
        <v>9958.17762032063i</v>
      </c>
      <c r="N98" s="195">
        <f>IF(D$32=1, IF(AND('Small Signal'!$B$62&gt;=1,FCCM=0),V98+0,S98+0), 0)</f>
        <v>8.608184052118844</v>
      </c>
      <c r="O98" s="195">
        <f>IF(D$32=1, IF(AND('Small Signal'!$B$62&gt;=1,FCCM=0),W98,T98), 0)</f>
        <v>-20.453730579623524</v>
      </c>
      <c r="P98" s="195">
        <f>IF(AND('Small Signal'!$B$62&gt;=1,FCCM=0),AF98+0,AC98+0)</f>
        <v>38.623018973201056</v>
      </c>
      <c r="Q98" s="195">
        <f>IF(AND('Small Signal'!$B$62&gt;=1,FCCM=0),AG98,AD98)</f>
        <v>85.519813623836981</v>
      </c>
      <c r="R98" s="195" t="str">
        <f>IMDIV(IMSUM('Small Signal'!$B$2*'Small Signal'!$B$39*'Small Signal'!$B$63,IMPRODUCT(M98,'Small Signal'!$B$2*'Small Signal'!$B$39*'Small Signal'!$B$63*'Small Signal'!$B$14*'Small Signal'!$B$15)),IMSUM(IMPRODUCT('Small Signal'!$B$12*'Small Signal'!$B$14*('Small Signal'!$B$15+'Small Signal'!$B$39),IMPOWER(M98,2)),IMSUM(IMPRODUCT(M98,('Small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2.34766060409364-0.814634417370879i</v>
      </c>
      <c r="S98" s="195">
        <f t="shared" si="59"/>
        <v>8.608184052118844</v>
      </c>
      <c r="T98" s="195">
        <f t="shared" si="60"/>
        <v>-20.453730579623524</v>
      </c>
      <c r="U98" s="195" t="str">
        <f>IMDIV(IMSUM('Small Signal'!$B$75,IMPRODUCT(M98,'Small Signal'!$B$76)),IMSUM(IMPRODUCT('Small Signal'!$B$79,IMPOWER(M98,2)),IMSUM(IMPRODUCT(M98,'Small Signal'!$B$78),'Small Signal'!$B$77)))</f>
        <v>2.89929648321105-0.779272002220915i</v>
      </c>
      <c r="V98" s="195">
        <f t="shared" si="37"/>
        <v>9.548782829023736</v>
      </c>
      <c r="W98" s="195">
        <f t="shared" si="38"/>
        <v>-15.044387113943902</v>
      </c>
      <c r="X98" s="195" t="str">
        <f>IMPRODUCT(IMDIV(IMSUM(IMPRODUCT(M98,'Small Signal'!$B$58*'Small Signal'!$B$6*'Small Signal'!$B$51*'Small Signal'!$B$7*'Small Signal'!$B$8),'Small Signal'!$B$58*'Small Signal'!$B$6*'Small Signal'!$B$51),IMSUM(IMSUM(IMPRODUCT(M98,('Small Signal'!$B$5+'Small Signal'!$B$6)*('Small Signal'!$B$57*'Small Signal'!$B$58)+'Small Signal'!$B$5*'Small Signal'!$B$58*('Small Signal'!$B$8+'Small Signal'!$B$9)+'Small Signal'!$B$6*'Small Signal'!$B$58*('Small Signal'!$B$8+'Small Signal'!$B$9)+'Small Signal'!$B$7*'Small Signal'!$B$8*('Small Signal'!$B$5+'Small Signal'!$B$6)),'Small Signal'!$B$6+'Small Signal'!$B$5),IMPRODUCT(IMPOWER(M98,2),'Small Signal'!$B$57*'Small Signal'!$B$58*'Small Signal'!$B$8*'Small Signal'!$B$7*('Small Signal'!$B$5+'Small Signal'!$B$6)+('Small Signal'!$B$5+'Small Signal'!$B$6)*('Small Signal'!$B$9*'Small Signal'!$B$8*'Small Signal'!$B$58*'Small Signal'!$B$7)))),-1)</f>
        <v>-8.52769527883415+30.5057250055229i</v>
      </c>
      <c r="Y98" s="195">
        <f t="shared" si="39"/>
        <v>30.014834921082201</v>
      </c>
      <c r="Z98" s="195">
        <f t="shared" si="40"/>
        <v>105.97354420346049</v>
      </c>
      <c r="AA98" s="195" t="str">
        <f t="shared" si="41"/>
        <v>1.00003101093128+0.00620531944545466i</v>
      </c>
      <c r="AB98" s="195" t="str">
        <f t="shared" si="42"/>
        <v>6.66625218641241+85.0789045861151i</v>
      </c>
      <c r="AC98" s="192">
        <f t="shared" si="43"/>
        <v>38.623018973201056</v>
      </c>
      <c r="AD98" s="195">
        <f t="shared" si="44"/>
        <v>85.519813623836981</v>
      </c>
      <c r="AE98" s="195" t="str">
        <f t="shared" si="45"/>
        <v>-0.95205952756486+95.0905354005829i</v>
      </c>
      <c r="AF98" s="192">
        <f t="shared" si="46"/>
        <v>39.56318118095902</v>
      </c>
      <c r="AG98" s="195">
        <f t="shared" si="47"/>
        <v>90.573634062928676</v>
      </c>
      <c r="AI98" s="195" t="str">
        <f t="shared" si="48"/>
        <v>0.002-0.502099901270791i</v>
      </c>
      <c r="AJ98" s="195">
        <f t="shared" si="49"/>
        <v>0.22500000000000001</v>
      </c>
      <c r="AK98" s="195" t="str">
        <f t="shared" si="50"/>
        <v>0.0375-1004.19980254158i</v>
      </c>
      <c r="AL98" s="195" t="str">
        <f t="shared" si="51"/>
        <v>0.187120919313481-0.0837433683204472i</v>
      </c>
      <c r="AM98" s="195" t="str">
        <f t="shared" si="52"/>
        <v>0.898500875113591-0.0012067412053543i</v>
      </c>
      <c r="AN98" s="195" t="str">
        <f t="shared" si="53"/>
        <v>0.006+0.0137178977422784i</v>
      </c>
      <c r="AO98" s="195" t="str">
        <f t="shared" si="54"/>
        <v>2.52422343480468-0.941445770745222i</v>
      </c>
      <c r="AP98" s="195">
        <f t="shared" si="61"/>
        <v>8.608184052118844</v>
      </c>
      <c r="AQ98" s="195">
        <f t="shared" si="62"/>
        <v>-20.453730579623524</v>
      </c>
      <c r="AS98" s="195" t="str">
        <f t="shared" si="55"/>
        <v>0.921949468554292-0.00127054897909311i</v>
      </c>
      <c r="AT98" s="195" t="str">
        <f t="shared" si="56"/>
        <v>2.53457324054457-0.949189783500973i</v>
      </c>
      <c r="AU98" s="195">
        <f t="shared" si="63"/>
        <v>8.6480897825915264</v>
      </c>
      <c r="AV98" s="195">
        <f t="shared" si="64"/>
        <v>-20.530768611949693</v>
      </c>
    </row>
    <row r="99" spans="6:48" x14ac:dyDescent="0.2">
      <c r="F99" s="195">
        <v>97</v>
      </c>
      <c r="G99" s="210">
        <f t="shared" si="33"/>
        <v>169.0456725043133</v>
      </c>
      <c r="H99" s="210">
        <f t="shared" si="34"/>
        <v>168.57881372500071</v>
      </c>
      <c r="I99" s="196">
        <f t="shared" si="35"/>
        <v>1</v>
      </c>
      <c r="J99" s="195">
        <f t="shared" si="57"/>
        <v>1</v>
      </c>
      <c r="K99" s="195">
        <f t="shared" si="58"/>
        <v>1</v>
      </c>
      <c r="L99" s="195">
        <f>10^('Small Signal'!F99/30)</f>
        <v>1711.3283041617822</v>
      </c>
      <c r="M99" s="195" t="str">
        <f t="shared" si="36"/>
        <v>10752.5928564699i</v>
      </c>
      <c r="N99" s="195">
        <f>IF(D$32=1, IF(AND('Small Signal'!$B$62&gt;=1,FCCM=0),V99+0,S99+0), 0)</f>
        <v>8.526092534501327</v>
      </c>
      <c r="O99" s="195">
        <f>IF(D$32=1, IF(AND('Small Signal'!$B$62&gt;=1,FCCM=0),W99,T99), 0)</f>
        <v>-21.94895541856414</v>
      </c>
      <c r="P99" s="195">
        <f>IF(AND('Small Signal'!$B$62&gt;=1,FCCM=0),AF99+0,AC99+0)</f>
        <v>37.908042315259813</v>
      </c>
      <c r="Q99" s="195">
        <f>IF(AND('Small Signal'!$B$62&gt;=1,FCCM=0),AG99,AD99)</f>
        <v>84.657028125060805</v>
      </c>
      <c r="R99" s="195" t="str">
        <f>IMDIV(IMSUM('Small Signal'!$B$2*'Small Signal'!$B$39*'Small Signal'!$B$63,IMPRODUCT(M99,'Small Signal'!$B$2*'Small Signal'!$B$39*'Small Signal'!$B$63*'Small Signal'!$B$14*'Small Signal'!$B$15)),IMSUM(IMPRODUCT('Small Signal'!$B$12*'Small Signal'!$B$14*('Small Signal'!$B$15+'Small Signal'!$B$39),IMPOWER(M99,2)),IMSUM(IMPRODUCT(M99,('Small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2.30826237802617-0.865733521966213i</v>
      </c>
      <c r="S99" s="195">
        <f t="shared" si="59"/>
        <v>8.526092534501327</v>
      </c>
      <c r="T99" s="195">
        <f t="shared" si="60"/>
        <v>-21.94895541856414</v>
      </c>
      <c r="U99" s="195" t="str">
        <f>IMDIV(IMSUM('Small Signal'!$B$75,IMPRODUCT(M99,'Small Signal'!$B$76)),IMSUM(IMPRODUCT('Small Signal'!$B$79,IMPOWER(M99,2)),IMSUM(IMPRODUCT(M99,'Small Signal'!$B$78),'Small Signal'!$B$77)))</f>
        <v>2.8733675364571-0.836060142236729i</v>
      </c>
      <c r="V99" s="195">
        <f t="shared" si="37"/>
        <v>9.5207711113022278</v>
      </c>
      <c r="W99" s="195">
        <f t="shared" si="38"/>
        <v>-16.223344819736667</v>
      </c>
      <c r="X99" s="195" t="str">
        <f>IMPRODUCT(IMDIV(IMSUM(IMPRODUCT(M99,'Small Signal'!$B$58*'Small Signal'!$B$6*'Small Signal'!$B$51*'Small Signal'!$B$7*'Small Signal'!$B$8),'Small Signal'!$B$58*'Small Signal'!$B$6*'Small Signal'!$B$51),IMSUM(IMSUM(IMPRODUCT(M99,('Small Signal'!$B$5+'Small Signal'!$B$6)*('Small Signal'!$B$57*'Small Signal'!$B$58)+'Small Signal'!$B$5*'Small Signal'!$B$58*('Small Signal'!$B$8+'Small Signal'!$B$9)+'Small Signal'!$B$6*'Small Signal'!$B$58*('Small Signal'!$B$8+'Small Signal'!$B$9)+'Small Signal'!$B$7*'Small Signal'!$B$8*('Small Signal'!$B$5+'Small Signal'!$B$6)),'Small Signal'!$B$6+'Small Signal'!$B$5),IMPRODUCT(IMPOWER(M99,2),'Small Signal'!$B$57*'Small Signal'!$B$58*'Small Signal'!$B$8*'Small Signal'!$B$7*('Small Signal'!$B$5+'Small Signal'!$B$6)+('Small Signal'!$B$5+'Small Signal'!$B$6)*('Small Signal'!$B$9*'Small Signal'!$B$8*'Small Signal'!$B$58*'Small Signal'!$B$7)))),-1)</f>
        <v>-8.22694609821776+28.2766139866395i</v>
      </c>
      <c r="Y99" s="195">
        <f t="shared" si="39"/>
        <v>29.381949780758482</v>
      </c>
      <c r="Z99" s="195">
        <f t="shared" si="40"/>
        <v>106.60598354362493</v>
      </c>
      <c r="AA99" s="195" t="str">
        <f t="shared" si="41"/>
        <v>1.00003615594156+0.00670032204826483i</v>
      </c>
      <c r="AB99" s="195" t="str">
        <f t="shared" si="42"/>
        <v>7.31867985510926+78.2548126301076i</v>
      </c>
      <c r="AC99" s="192">
        <f t="shared" si="43"/>
        <v>37.908042315259813</v>
      </c>
      <c r="AD99" s="195">
        <f t="shared" si="44"/>
        <v>84.657028125060805</v>
      </c>
      <c r="AE99" s="195" t="str">
        <f t="shared" si="45"/>
        <v>0.0019100688415854+88.1273263951886i</v>
      </c>
      <c r="AF99" s="192">
        <f t="shared" si="46"/>
        <v>38.902211896158605</v>
      </c>
      <c r="AG99" s="195">
        <f t="shared" si="47"/>
        <v>89.998758173115405</v>
      </c>
      <c r="AI99" s="195" t="str">
        <f t="shared" si="48"/>
        <v>0.002-0.465004121958498i</v>
      </c>
      <c r="AJ99" s="195">
        <f t="shared" si="49"/>
        <v>0.22500000000000001</v>
      </c>
      <c r="AK99" s="195" t="str">
        <f t="shared" si="50"/>
        <v>0.0375-930.008243916995i</v>
      </c>
      <c r="AL99" s="195" t="str">
        <f t="shared" si="51"/>
        <v>0.18204665830521-0.0879457017943626i</v>
      </c>
      <c r="AM99" s="195" t="str">
        <f t="shared" si="52"/>
        <v>0.898500606212259-0.0013030087909373i</v>
      </c>
      <c r="AN99" s="195" t="str">
        <f t="shared" si="53"/>
        <v>0.006+0.0148122452614636i</v>
      </c>
      <c r="AO99" s="195" t="str">
        <f t="shared" si="54"/>
        <v>2.47529297361152-0.997518996321656i</v>
      </c>
      <c r="AP99" s="195">
        <f t="shared" si="61"/>
        <v>8.526092534501327</v>
      </c>
      <c r="AQ99" s="195">
        <f t="shared" si="62"/>
        <v>-21.94895541856414</v>
      </c>
      <c r="AS99" s="195" t="str">
        <f t="shared" si="55"/>
        <v>0.921949178045804-0.00137190679785431i</v>
      </c>
      <c r="AT99" s="195" t="str">
        <f t="shared" si="56"/>
        <v>2.48504740480009-1.00554443551871i</v>
      </c>
      <c r="AU99" s="195">
        <f t="shared" si="63"/>
        <v>8.5652227749346093</v>
      </c>
      <c r="AV99" s="195">
        <f t="shared" si="64"/>
        <v>-22.030123319557788</v>
      </c>
    </row>
    <row r="100" spans="6:48" x14ac:dyDescent="0.2">
      <c r="F100" s="195">
        <v>98</v>
      </c>
      <c r="G100" s="210">
        <f t="shared" si="33"/>
        <v>169.08290639135993</v>
      </c>
      <c r="H100" s="210">
        <f t="shared" si="34"/>
        <v>168.57881372500071</v>
      </c>
      <c r="I100" s="196">
        <f t="shared" si="35"/>
        <v>1</v>
      </c>
      <c r="J100" s="195">
        <f t="shared" si="57"/>
        <v>1</v>
      </c>
      <c r="K100" s="195">
        <f t="shared" si="58"/>
        <v>1</v>
      </c>
      <c r="L100" s="195">
        <f>10^('Small Signal'!F100/30)</f>
        <v>1847.8497974222912</v>
      </c>
      <c r="M100" s="195" t="str">
        <f t="shared" si="36"/>
        <v>11610.3826970385i</v>
      </c>
      <c r="N100" s="195">
        <f>IF(D$32=1, IF(AND('Small Signal'!$B$62&gt;=1,FCCM=0),V100+0,S100+0), 0)</f>
        <v>8.4322940418455712</v>
      </c>
      <c r="O100" s="195">
        <f>IF(D$32=1, IF(AND('Small Signal'!$B$62&gt;=1,FCCM=0),W100,T100), 0)</f>
        <v>-23.532277177374258</v>
      </c>
      <c r="P100" s="195">
        <f>IF(AND('Small Signal'!$B$62&gt;=1,FCCM=0),AF100+0,AC100+0)</f>
        <v>37.185772818948074</v>
      </c>
      <c r="Q100" s="195">
        <f>IF(AND('Small Signal'!$B$62&gt;=1,FCCM=0),AG100,AD100)</f>
        <v>83.793950204507269</v>
      </c>
      <c r="R100" s="195" t="str">
        <f>IMDIV(IMSUM('Small Signal'!$B$2*'Small Signal'!$B$39*'Small Signal'!$B$63,IMPRODUCT(M100,'Small Signal'!$B$2*'Small Signal'!$B$39*'Small Signal'!$B$63*'Small Signal'!$B$14*'Small Signal'!$B$15)),IMSUM(IMPRODUCT('Small Signal'!$B$12*'Small Signal'!$B$14*('Small Signal'!$B$15+'Small Signal'!$B$39),IMPOWER(M100,2)),IMSUM(IMPRODUCT(M100,('Small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2.2638638159933-0.917897609708565i</v>
      </c>
      <c r="S100" s="195">
        <f t="shared" si="59"/>
        <v>8.4322940418455712</v>
      </c>
      <c r="T100" s="195">
        <f t="shared" si="60"/>
        <v>-23.532277177374258</v>
      </c>
      <c r="U100" s="195" t="str">
        <f>IMDIV(IMSUM('Small Signal'!$B$75,IMPRODUCT(M100,'Small Signal'!$B$76)),IMSUM(IMPRODUCT('Small Signal'!$B$79,IMPOWER(M100,2)),IMSUM(IMPRODUCT(M100,'Small Signal'!$B$78),'Small Signal'!$B$77)))</f>
        <v>2.8435061800082-0.896064320299711i</v>
      </c>
      <c r="V100" s="195">
        <f t="shared" si="37"/>
        <v>9.4882645695609309</v>
      </c>
      <c r="W100" s="195">
        <f t="shared" si="38"/>
        <v>-17.491023861564933</v>
      </c>
      <c r="X100" s="195" t="str">
        <f>IMPRODUCT(IMDIV(IMSUM(IMPRODUCT(M100,'Small Signal'!$B$58*'Small Signal'!$B$6*'Small Signal'!$B$51*'Small Signal'!$B$7*'Small Signal'!$B$8),'Small Signal'!$B$58*'Small Signal'!$B$6*'Small Signal'!$B$51),IMSUM(IMSUM(IMPRODUCT(M100,('Small Signal'!$B$5+'Small Signal'!$B$6)*('Small Signal'!$B$57*'Small Signal'!$B$58)+'Small Signal'!$B$5*'Small Signal'!$B$58*('Small Signal'!$B$8+'Small Signal'!$B$9)+'Small Signal'!$B$6*'Small Signal'!$B$58*('Small Signal'!$B$8+'Small Signal'!$B$9)+'Small Signal'!$B$7*'Small Signal'!$B$8*('Small Signal'!$B$5+'Small Signal'!$B$6)),'Small Signal'!$B$6+'Small Signal'!$B$5),IMPRODUCT(IMPOWER(M100,2),'Small Signal'!$B$57*'Small Signal'!$B$58*'Small Signal'!$B$8*'Small Signal'!$B$7*('Small Signal'!$B$5+'Small Signal'!$B$6)+('Small Signal'!$B$5+'Small Signal'!$B$6)*('Small Signal'!$B$9*'Small Signal'!$B$8*'Small Signal'!$B$58*'Small Signal'!$B$7)))),-1)</f>
        <v>-7.96865578075558+26.2086457149486i</v>
      </c>
      <c r="Y100" s="195">
        <f t="shared" si="39"/>
        <v>28.753478777102501</v>
      </c>
      <c r="Z100" s="195">
        <f t="shared" si="40"/>
        <v>107.32622738188154</v>
      </c>
      <c r="AA100" s="195" t="str">
        <f t="shared" si="41"/>
        <v>1.00004215452931+0.00723480637577054i</v>
      </c>
      <c r="AB100" s="195" t="str">
        <f t="shared" si="42"/>
        <v>7.81864897998363+71.9011761927916i</v>
      </c>
      <c r="AC100" s="192">
        <f t="shared" si="43"/>
        <v>37.185772818948074</v>
      </c>
      <c r="AD100" s="195">
        <f t="shared" si="44"/>
        <v>83.793950204507269</v>
      </c>
      <c r="AE100" s="195" t="str">
        <f t="shared" si="45"/>
        <v>0.825710349604787+81.6648741859869i</v>
      </c>
      <c r="AF100" s="192">
        <f t="shared" si="46"/>
        <v>38.241149909647234</v>
      </c>
      <c r="AG100" s="195">
        <f t="shared" si="47"/>
        <v>89.420704353965704</v>
      </c>
      <c r="AI100" s="195" t="str">
        <f t="shared" si="48"/>
        <v>0.002-0.430649026002852i</v>
      </c>
      <c r="AJ100" s="195">
        <f t="shared" si="49"/>
        <v>0.22500000000000001</v>
      </c>
      <c r="AK100" s="195" t="str">
        <f t="shared" si="50"/>
        <v>0.0375-861.298052005705i</v>
      </c>
      <c r="AL100" s="195" t="str">
        <f t="shared" si="51"/>
        <v>0.176470827432186-0.092021056669384i</v>
      </c>
      <c r="AM100" s="195" t="str">
        <f t="shared" si="52"/>
        <v>0.89850029269653-0.00140695603781641i</v>
      </c>
      <c r="AN100" s="195" t="str">
        <f t="shared" si="53"/>
        <v>0.006+0.0159938945316347i</v>
      </c>
      <c r="AO100" s="195" t="str">
        <f t="shared" si="54"/>
        <v>2.42050523652002-1.05408740253901i</v>
      </c>
      <c r="AP100" s="195">
        <f t="shared" si="61"/>
        <v>8.4322940418455712</v>
      </c>
      <c r="AQ100" s="195">
        <f t="shared" si="62"/>
        <v>-23.532277177374258</v>
      </c>
      <c r="AS100" s="195" t="str">
        <f t="shared" si="55"/>
        <v>0.921948839338003-0.00148135034112954i</v>
      </c>
      <c r="AT100" s="195" t="str">
        <f t="shared" si="56"/>
        <v>2.42961422237509-1.06235536654283i</v>
      </c>
      <c r="AU100" s="195">
        <f t="shared" si="63"/>
        <v>8.4705565178924314</v>
      </c>
      <c r="AV100" s="195">
        <f t="shared" si="64"/>
        <v>-23.617483534637294</v>
      </c>
    </row>
    <row r="101" spans="6:48" x14ac:dyDescent="0.2">
      <c r="F101" s="195">
        <v>99</v>
      </c>
      <c r="G101" s="210">
        <f t="shared" si="33"/>
        <v>169.12310806854873</v>
      </c>
      <c r="H101" s="210">
        <f t="shared" si="34"/>
        <v>168.57881372500071</v>
      </c>
      <c r="I101" s="196">
        <f t="shared" si="35"/>
        <v>1</v>
      </c>
      <c r="J101" s="195">
        <f t="shared" si="57"/>
        <v>1</v>
      </c>
      <c r="K101" s="195">
        <f t="shared" si="58"/>
        <v>1</v>
      </c>
      <c r="L101" s="195">
        <f>10^('Small Signal'!F101/30)</f>
        <v>1995.2623149688804</v>
      </c>
      <c r="M101" s="195" t="str">
        <f t="shared" si="36"/>
        <v>12536.6028613816i</v>
      </c>
      <c r="N101" s="195">
        <f>IF(D$32=1, IF(AND('Small Signal'!$B$62&gt;=1,FCCM=0),V101+0,S101+0), 0)</f>
        <v>8.3254233853935062</v>
      </c>
      <c r="O101" s="195">
        <f>IF(D$32=1, IF(AND('Small Signal'!$B$62&gt;=1,FCCM=0),W101,T101), 0)</f>
        <v>-25.204313569956174</v>
      </c>
      <c r="P101" s="195">
        <f>IF(AND('Small Signal'!$B$62&gt;=1,FCCM=0),AF101+0,AC101+0)</f>
        <v>36.455615667445528</v>
      </c>
      <c r="Q101" s="195">
        <f>IF(AND('Small Signal'!$B$62&gt;=1,FCCM=0),AG101,AD101)</f>
        <v>82.93189339757015</v>
      </c>
      <c r="R101" s="195" t="str">
        <f>IMDIV(IMSUM('Small Signal'!$B$2*'Small Signal'!$B$39*'Small Signal'!$B$63,IMPRODUCT(M101,'Small Signal'!$B$2*'Small Signal'!$B$39*'Small Signal'!$B$63*'Small Signal'!$B$14*'Small Signal'!$B$15)),IMSUM(IMPRODUCT('Small Signal'!$B$12*'Small Signal'!$B$14*('Small Signal'!$B$15+'Small Signal'!$B$39),IMPOWER(M101,2)),IMSUM(IMPRODUCT(M101,('Small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2.21407608191331-0.970659645651272i</v>
      </c>
      <c r="S101" s="195">
        <f t="shared" si="59"/>
        <v>8.3254233853935062</v>
      </c>
      <c r="T101" s="195">
        <f t="shared" si="60"/>
        <v>-25.204313569956174</v>
      </c>
      <c r="U101" s="195" t="str">
        <f>IMDIV(IMSUM('Small Signal'!$B$75,IMPRODUCT(M101,'Small Signal'!$B$76)),IMSUM(IMPRODUCT('Small Signal'!$B$79,IMPOWER(M101,2)),IMSUM(IMPRODUCT(M101,'Small Signal'!$B$78),'Small Signal'!$B$77)))</f>
        <v>2.80918361398486-0.959235391193612i</v>
      </c>
      <c r="V101" s="195">
        <f t="shared" si="37"/>
        <v>9.4505699770971443</v>
      </c>
      <c r="W101" s="195">
        <f t="shared" si="38"/>
        <v>-18.853194603021578</v>
      </c>
      <c r="X101" s="195" t="str">
        <f>IMPRODUCT(IMDIV(IMSUM(IMPRODUCT(M101,'Small Signal'!$B$58*'Small Signal'!$B$6*'Small Signal'!$B$51*'Small Signal'!$B$7*'Small Signal'!$B$8),'Small Signal'!$B$58*'Small Signal'!$B$6*'Small Signal'!$B$51),IMSUM(IMSUM(IMPRODUCT(M101,('Small Signal'!$B$5+'Small Signal'!$B$6)*('Small Signal'!$B$57*'Small Signal'!$B$58)+'Small Signal'!$B$5*'Small Signal'!$B$58*('Small Signal'!$B$8+'Small Signal'!$B$9)+'Small Signal'!$B$6*'Small Signal'!$B$58*('Small Signal'!$B$8+'Small Signal'!$B$9)+'Small Signal'!$B$7*'Small Signal'!$B$8*('Small Signal'!$B$5+'Small Signal'!$B$6)),'Small Signal'!$B$6+'Small Signal'!$B$5),IMPRODUCT(IMPOWER(M101,2),'Small Signal'!$B$57*'Small Signal'!$B$58*'Small Signal'!$B$8*'Small Signal'!$B$7*('Small Signal'!$B$5+'Small Signal'!$B$6)+('Small Signal'!$B$5+'Small Signal'!$B$6)*('Small Signal'!$B$9*'Small Signal'!$B$8*'Small Signal'!$B$58*'Small Signal'!$B$7)))),-1)</f>
        <v>-7.74686735478286+24.2907585579313i</v>
      </c>
      <c r="Y101" s="195">
        <f t="shared" si="39"/>
        <v>28.130192282052022</v>
      </c>
      <c r="Z101" s="195">
        <f t="shared" si="40"/>
        <v>108.13620696752632</v>
      </c>
      <c r="AA101" s="195" t="str">
        <f t="shared" si="41"/>
        <v>1.00004914829597+0.00781192022788252i</v>
      </c>
      <c r="AB101" s="195" t="str">
        <f t="shared" si="42"/>
        <v>8.18199403616316+65.9884299701391i</v>
      </c>
      <c r="AC101" s="192">
        <f t="shared" si="43"/>
        <v>36.455615667445528</v>
      </c>
      <c r="AD101" s="195">
        <f t="shared" si="44"/>
        <v>82.93189339757015</v>
      </c>
      <c r="AE101" s="195" t="str">
        <f t="shared" si="45"/>
        <v>1.53818245493656+75.6682702497933i</v>
      </c>
      <c r="AF101" s="192">
        <f t="shared" si="46"/>
        <v>37.580070374125114</v>
      </c>
      <c r="AG101" s="195">
        <f t="shared" si="47"/>
        <v>88.835453405977702</v>
      </c>
      <c r="AI101" s="195" t="str">
        <f t="shared" si="48"/>
        <v>0.002-0.398832128231665i</v>
      </c>
      <c r="AJ101" s="195">
        <f t="shared" si="49"/>
        <v>0.22500000000000001</v>
      </c>
      <c r="AK101" s="195" t="str">
        <f t="shared" si="50"/>
        <v>0.0375-797.664256463329i</v>
      </c>
      <c r="AL101" s="195" t="str">
        <f t="shared" si="51"/>
        <v>0.170390701627642-0.0958997761585773i</v>
      </c>
      <c r="AM101" s="195" t="str">
        <f t="shared" si="52"/>
        <v>0.8984999271643-0.00151919556607445i</v>
      </c>
      <c r="AN101" s="195" t="str">
        <f t="shared" si="53"/>
        <v>0.006+0.0172698100641481i</v>
      </c>
      <c r="AO101" s="195" t="str">
        <f t="shared" si="54"/>
        <v>2.3595074811934-1.11051692195299i</v>
      </c>
      <c r="AP101" s="195">
        <f t="shared" si="61"/>
        <v>8.3254233853935062</v>
      </c>
      <c r="AQ101" s="195">
        <f t="shared" si="62"/>
        <v>-25.204313569956174</v>
      </c>
      <c r="AS101" s="195" t="str">
        <f t="shared" si="55"/>
        <v>0.921948444434016-0.00159952461992291i</v>
      </c>
      <c r="AT101" s="195" t="str">
        <f t="shared" si="56"/>
        <v>2.36792419358012-1.11897836790892i</v>
      </c>
      <c r="AU101" s="195">
        <f t="shared" si="63"/>
        <v>8.3627204627290759</v>
      </c>
      <c r="AV101" s="195">
        <f t="shared" si="64"/>
        <v>-25.293388609758544</v>
      </c>
    </row>
    <row r="102" spans="6:48" x14ac:dyDescent="0.2">
      <c r="F102" s="195">
        <v>100</v>
      </c>
      <c r="G102" s="210">
        <f t="shared" si="33"/>
        <v>169.16651363204647</v>
      </c>
      <c r="H102" s="210">
        <f t="shared" si="34"/>
        <v>168.57881372500071</v>
      </c>
      <c r="I102" s="196">
        <f t="shared" si="35"/>
        <v>1</v>
      </c>
      <c r="J102" s="195">
        <f t="shared" si="57"/>
        <v>1</v>
      </c>
      <c r="K102" s="195">
        <f t="shared" si="58"/>
        <v>1</v>
      </c>
      <c r="L102" s="195">
        <f>10^('Small Signal'!F102/30)</f>
        <v>2154.4346900318851</v>
      </c>
      <c r="M102" s="195" t="str">
        <f t="shared" si="36"/>
        <v>13536.7123896863i</v>
      </c>
      <c r="N102" s="195">
        <f>IF(D$32=1, IF(AND('Small Signal'!$B$62&gt;=1,FCCM=0),V102+0,S102+0), 0)</f>
        <v>8.204043517913961</v>
      </c>
      <c r="O102" s="195">
        <f>IF(D$32=1, IF(AND('Small Signal'!$B$62&gt;=1,FCCM=0),W102,T102), 0)</f>
        <v>-26.964685970947954</v>
      </c>
      <c r="P102" s="195">
        <f>IF(AND('Small Signal'!$B$62&gt;=1,FCCM=0),AF102+0,AC102+0)</f>
        <v>35.716983952907164</v>
      </c>
      <c r="Q102" s="195">
        <f>IF(AND('Small Signal'!$B$62&gt;=1,FCCM=0),AG102,AD102)</f>
        <v>82.073152838978942</v>
      </c>
      <c r="R102" s="195" t="str">
        <f>IMDIV(IMSUM('Small Signal'!$B$2*'Small Signal'!$B$39*'Small Signal'!$B$63,IMPRODUCT(M102,'Small Signal'!$B$2*'Small Signal'!$B$39*'Small Signal'!$B$63*'Small Signal'!$B$14*'Small Signal'!$B$15)),IMSUM(IMPRODUCT('Small Signal'!$B$12*'Small Signal'!$B$14*('Small Signal'!$B$15+'Small Signal'!$B$39),IMPOWER(M102,2)),IMSUM(IMPRODUCT(M102,('Small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2.15855242905496-1.02345232301262i</v>
      </c>
      <c r="S102" s="195">
        <f t="shared" si="59"/>
        <v>8.204043517913961</v>
      </c>
      <c r="T102" s="195">
        <f t="shared" si="60"/>
        <v>-26.964685970947954</v>
      </c>
      <c r="U102" s="195" t="str">
        <f>IMDIV(IMSUM('Small Signal'!$B$75,IMPRODUCT(M102,'Small Signal'!$B$76)),IMSUM(IMPRODUCT('Small Signal'!$B$79,IMPOWER(M102,2)),IMSUM(IMPRODUCT(M102,'Small Signal'!$B$78),'Small Signal'!$B$77)))</f>
        <v>2.7698227478869-1.02545593117418i</v>
      </c>
      <c r="V102" s="195">
        <f t="shared" si="37"/>
        <v>9.4068966623727022</v>
      </c>
      <c r="W102" s="195">
        <f t="shared" si="38"/>
        <v>-20.315781243989019</v>
      </c>
      <c r="X102" s="195" t="str">
        <f>IMPRODUCT(IMDIV(IMSUM(IMPRODUCT(M102,'Small Signal'!$B$58*'Small Signal'!$B$6*'Small Signal'!$B$51*'Small Signal'!$B$7*'Small Signal'!$B$8),'Small Signal'!$B$58*'Small Signal'!$B$6*'Small Signal'!$B$51),IMSUM(IMSUM(IMPRODUCT(M102,('Small Signal'!$B$5+'Small Signal'!$B$6)*('Small Signal'!$B$57*'Small Signal'!$B$58)+'Small Signal'!$B$5*'Small Signal'!$B$58*('Small Signal'!$B$8+'Small Signal'!$B$9)+'Small Signal'!$B$6*'Small Signal'!$B$58*('Small Signal'!$B$8+'Small Signal'!$B$9)+'Small Signal'!$B$7*'Small Signal'!$B$8*('Small Signal'!$B$5+'Small Signal'!$B$6)),'Small Signal'!$B$6+'Small Signal'!$B$5),IMPRODUCT(IMPOWER(M102,2),'Small Signal'!$B$57*'Small Signal'!$B$58*'Small Signal'!$B$8*'Small Signal'!$B$7*('Small Signal'!$B$5+'Small Signal'!$B$6)+('Small Signal'!$B$5+'Small Signal'!$B$6)*('Small Signal'!$B$9*'Small Signal'!$B$8*'Small Signal'!$B$58*'Small Signal'!$B$7)))),-1)</f>
        <v>-7.55644853574366+22.5125461777118i</v>
      </c>
      <c r="Y102" s="195">
        <f t="shared" si="39"/>
        <v>27.512940434993201</v>
      </c>
      <c r="Z102" s="195">
        <f t="shared" si="40"/>
        <v>109.0378388099269</v>
      </c>
      <c r="AA102" s="195" t="str">
        <f t="shared" si="41"/>
        <v>1.00005730232975+0.0084350620389465i</v>
      </c>
      <c r="AB102" s="195" t="str">
        <f t="shared" si="42"/>
        <v>8.42249421690647+60.4894367366936i</v>
      </c>
      <c r="AC102" s="192">
        <f t="shared" si="43"/>
        <v>35.716983952907164</v>
      </c>
      <c r="AD102" s="195">
        <f t="shared" si="44"/>
        <v>82.073152838978942</v>
      </c>
      <c r="AE102" s="195" t="str">
        <f t="shared" si="45"/>
        <v>2.15560095622774+70.1045674854712i</v>
      </c>
      <c r="AF102" s="192">
        <f t="shared" si="46"/>
        <v>36.919030434609759</v>
      </c>
      <c r="AG102" s="195">
        <f t="shared" si="47"/>
        <v>88.238803263123472</v>
      </c>
      <c r="AI102" s="195" t="str">
        <f t="shared" si="48"/>
        <v>0.002-0.36936590333481i</v>
      </c>
      <c r="AJ102" s="195">
        <f t="shared" si="49"/>
        <v>0.22500000000000001</v>
      </c>
      <c r="AK102" s="195" t="str">
        <f t="shared" si="50"/>
        <v>0.0375-738.731806669621i</v>
      </c>
      <c r="AL102" s="195" t="str">
        <f t="shared" si="51"/>
        <v>0.163815918077033-0.0995075680089071i</v>
      </c>
      <c r="AM102" s="195" t="str">
        <f t="shared" si="52"/>
        <v>0.898499500985386-0.00164038886089151i</v>
      </c>
      <c r="AN102" s="195" t="str">
        <f t="shared" si="53"/>
        <v>0.006+0.0186475119653842i</v>
      </c>
      <c r="AO102" s="195" t="str">
        <f t="shared" si="54"/>
        <v>2.29202496476481-1.1660661734982i</v>
      </c>
      <c r="AP102" s="195">
        <f t="shared" si="61"/>
        <v>8.204043517913961</v>
      </c>
      <c r="AQ102" s="195">
        <f t="shared" si="62"/>
        <v>-26.964685970947954</v>
      </c>
      <c r="AS102" s="195" t="str">
        <f t="shared" si="55"/>
        <v>0.921947984010197-0.00172712609359203i</v>
      </c>
      <c r="AT102" s="195" t="str">
        <f t="shared" si="56"/>
        <v>2.29970810794574-1.17466176032631i</v>
      </c>
      <c r="AU102" s="195">
        <f t="shared" si="63"/>
        <v>8.2402735008592476</v>
      </c>
      <c r="AV102" s="195">
        <f t="shared" si="64"/>
        <v>-27.057369395829841</v>
      </c>
    </row>
    <row r="103" spans="6:48" x14ac:dyDescent="0.2">
      <c r="F103" s="195">
        <v>101</v>
      </c>
      <c r="G103" s="210">
        <f t="shared" si="33"/>
        <v>169.21337784193321</v>
      </c>
      <c r="H103" s="210">
        <f t="shared" si="34"/>
        <v>168.57881372500071</v>
      </c>
      <c r="I103" s="196">
        <f t="shared" si="35"/>
        <v>1</v>
      </c>
      <c r="J103" s="195">
        <f t="shared" si="57"/>
        <v>1</v>
      </c>
      <c r="K103" s="195">
        <f t="shared" si="58"/>
        <v>1</v>
      </c>
      <c r="L103" s="195">
        <f>10^('Small Signal'!F103/30)</f>
        <v>2326.3050671536284</v>
      </c>
      <c r="M103" s="195" t="str">
        <f t="shared" si="36"/>
        <v>14616.6058179571i</v>
      </c>
      <c r="N103" s="195">
        <f>IF(D$32=1, IF(AND('Small Signal'!$B$62&gt;=1,FCCM=0),V103+0,S103+0), 0)</f>
        <v>8.0666662463206933</v>
      </c>
      <c r="O103" s="195">
        <f>IF(D$32=1, IF(AND('Small Signal'!$B$62&gt;=1,FCCM=0),W103,T103), 0)</f>
        <v>-28.811866220258196</v>
      </c>
      <c r="P103" s="195">
        <f>IF(AND('Small Signal'!$B$62&gt;=1,FCCM=0),AF103+0,AC103+0)</f>
        <v>34.969326220575773</v>
      </c>
      <c r="Q103" s="195">
        <f>IF(AND('Small Signal'!$B$62&gt;=1,FCCM=0),AG103,AD103)</f>
        <v>81.22106595019018</v>
      </c>
      <c r="R103" s="195" t="str">
        <f>IMDIV(IMSUM('Small Signal'!$B$2*'Small Signal'!$B$39*'Small Signal'!$B$63,IMPRODUCT(M103,'Small Signal'!$B$2*'Small Signal'!$B$39*'Small Signal'!$B$63*'Small Signal'!$B$14*'Small Signal'!$B$15)),IMSUM(IMPRODUCT('Small Signal'!$B$12*'Small Signal'!$B$14*('Small Signal'!$B$15+'Small Signal'!$B$39),IMPOWER(M103,2)),IMSUM(IMPRODUCT(M103,('Small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2.09701202235574-1.07560688812577i</v>
      </c>
      <c r="S103" s="195">
        <f t="shared" si="59"/>
        <v>8.0666662463206933</v>
      </c>
      <c r="T103" s="195">
        <f t="shared" si="60"/>
        <v>-28.811866220258196</v>
      </c>
      <c r="U103" s="195" t="str">
        <f>IMDIV(IMSUM('Small Signal'!$B$75,IMPRODUCT(M103,'Small Signal'!$B$76)),IMSUM(IMPRODUCT('Small Signal'!$B$79,IMPOWER(M103,2)),IMSUM(IMPRODUCT(M103,'Small Signal'!$B$78),'Small Signal'!$B$77)))</f>
        <v>2.7248017394338-1.09452414989447i</v>
      </c>
      <c r="V103" s="195">
        <f t="shared" si="37"/>
        <v>9.3563459489113434</v>
      </c>
      <c r="W103" s="195">
        <f t="shared" si="38"/>
        <v>-21.884808384517324</v>
      </c>
      <c r="X103" s="195" t="str">
        <f>IMPRODUCT(IMDIV(IMSUM(IMPRODUCT(M103,'Small Signal'!$B$58*'Small Signal'!$B$6*'Small Signal'!$B$51*'Small Signal'!$B$7*'Small Signal'!$B$8),'Small Signal'!$B$58*'Small Signal'!$B$6*'Small Signal'!$B$51),IMSUM(IMSUM(IMPRODUCT(M103,('Small Signal'!$B$5+'Small Signal'!$B$6)*('Small Signal'!$B$57*'Small Signal'!$B$58)+'Small Signal'!$B$5*'Small Signal'!$B$58*('Small Signal'!$B$8+'Small Signal'!$B$9)+'Small Signal'!$B$6*'Small Signal'!$B$58*('Small Signal'!$B$8+'Small Signal'!$B$9)+'Small Signal'!$B$7*'Small Signal'!$B$8*('Small Signal'!$B$5+'Small Signal'!$B$6)),'Small Signal'!$B$6+'Small Signal'!$B$5),IMPRODUCT(IMPOWER(M103,2),'Small Signal'!$B$57*'Small Signal'!$B$58*'Small Signal'!$B$8*'Small Signal'!$B$7*('Small Signal'!$B$5+'Small Signal'!$B$6)+('Small Signal'!$B$5+'Small Signal'!$B$6)*('Small Signal'!$B$9*'Small Signal'!$B$8*'Small Signal'!$B$58*'Small Signal'!$B$7)))),-1)</f>
        <v>-7.39298028320027+20.8642425636465i</v>
      </c>
      <c r="Y103" s="195">
        <f t="shared" si="39"/>
        <v>26.902659974255069</v>
      </c>
      <c r="Z103" s="195">
        <f t="shared" si="40"/>
        <v>110.03293217044835</v>
      </c>
      <c r="AA103" s="195" t="str">
        <f t="shared" si="41"/>
        <v>1.00006680909996+0.00910790074742438i</v>
      </c>
      <c r="AB103" s="195" t="str">
        <f t="shared" si="42"/>
        <v>8.55233744319704+55.3794097710221i</v>
      </c>
      <c r="AC103" s="192">
        <f t="shared" si="43"/>
        <v>34.969326220575773</v>
      </c>
      <c r="AD103" s="195">
        <f t="shared" si="44"/>
        <v>81.22106595019018</v>
      </c>
      <c r="AE103" s="195" t="str">
        <f t="shared" si="45"/>
        <v>2.69201181990332+64.9427198890491i</v>
      </c>
      <c r="AF103" s="192">
        <f t="shared" si="46"/>
        <v>36.258065445132615</v>
      </c>
      <c r="AG103" s="195">
        <f t="shared" si="47"/>
        <v>87.626328800551974</v>
      </c>
      <c r="AI103" s="195" t="str">
        <f t="shared" si="48"/>
        <v>0.002-0.342076680610576i</v>
      </c>
      <c r="AJ103" s="195">
        <f t="shared" si="49"/>
        <v>0.22500000000000001</v>
      </c>
      <c r="AK103" s="195" t="str">
        <f t="shared" si="50"/>
        <v>0.0375-684.153361221152i</v>
      </c>
      <c r="AL103" s="195" t="str">
        <f t="shared" si="51"/>
        <v>0.156770253673792-0.102768043533493i</v>
      </c>
      <c r="AM103" s="195" t="str">
        <f t="shared" si="52"/>
        <v>0.898499004097763-0.00177125016901353i</v>
      </c>
      <c r="AN103" s="195" t="str">
        <f t="shared" si="53"/>
        <v>0.006+0.0201351202594307i</v>
      </c>
      <c r="AO103" s="195" t="str">
        <f t="shared" si="54"/>
        <v>2.21788985890617-1.21989349629279i</v>
      </c>
      <c r="AP103" s="195">
        <f t="shared" si="61"/>
        <v>8.0666662463206933</v>
      </c>
      <c r="AQ103" s="195">
        <f t="shared" si="62"/>
        <v>-28.811866220258196</v>
      </c>
      <c r="AS103" s="195" t="str">
        <f t="shared" si="55"/>
        <v>0.92194744719602-0.00186490677220601i</v>
      </c>
      <c r="AT103" s="195" t="str">
        <f t="shared" si="56"/>
        <v>2.22480619798568-1.22855399121518i</v>
      </c>
      <c r="AU103" s="195">
        <f t="shared" si="63"/>
        <v>8.1017251451625807</v>
      </c>
      <c r="AV103" s="195">
        <f t="shared" si="64"/>
        <v>-28.907795748348569</v>
      </c>
    </row>
    <row r="104" spans="6:48" x14ac:dyDescent="0.2">
      <c r="F104" s="195">
        <v>102</v>
      </c>
      <c r="G104" s="210">
        <f t="shared" si="33"/>
        <v>169.2639755669847</v>
      </c>
      <c r="H104" s="210">
        <f t="shared" si="34"/>
        <v>168.57881372500071</v>
      </c>
      <c r="I104" s="196">
        <f t="shared" si="35"/>
        <v>1</v>
      </c>
      <c r="J104" s="195">
        <f t="shared" si="57"/>
        <v>1</v>
      </c>
      <c r="K104" s="195">
        <f t="shared" si="58"/>
        <v>1</v>
      </c>
      <c r="L104" s="195">
        <f>10^('Small Signal'!F104/30)</f>
        <v>2511.8864315095811</v>
      </c>
      <c r="M104" s="195" t="str">
        <f t="shared" si="36"/>
        <v>15782.6479197648i</v>
      </c>
      <c r="N104" s="195">
        <f>IF(D$32=1, IF(AND('Small Signal'!$B$62&gt;=1,FCCM=0),V104+0,S104+0), 0)</f>
        <v>7.91177958113275</v>
      </c>
      <c r="O104" s="195">
        <f>IF(D$32=1, IF(AND('Small Signal'!$B$62&gt;=1,FCCM=0),W104,T104), 0)</f>
        <v>-30.743039971878204</v>
      </c>
      <c r="P104" s="195">
        <f>IF(AND('Small Signal'!$B$62&gt;=1,FCCM=0),AF104+0,AC104+0)</f>
        <v>34.21215907487526</v>
      </c>
      <c r="Q104" s="195">
        <f>IF(AND('Small Signal'!$B$62&gt;=1,FCCM=0),AG104,AD104)</f>
        <v>80.380040521321206</v>
      </c>
      <c r="R104" s="195" t="str">
        <f>IMDIV(IMSUM('Small Signal'!$B$2*'Small Signal'!$B$39*'Small Signal'!$B$63,IMPRODUCT(M104,'Small Signal'!$B$2*'Small Signal'!$B$39*'Small Signal'!$B$63*'Small Signal'!$B$14*'Small Signal'!$B$15)),IMSUM(IMPRODUCT('Small Signal'!$B$12*'Small Signal'!$B$14*('Small Signal'!$B$15+'Small Signal'!$B$39),IMPOWER(M104,2)),IMSUM(IMPRODUCT(M104,('Small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2.02926652437623-1.12635779516374i</v>
      </c>
      <c r="S104" s="195">
        <f t="shared" si="59"/>
        <v>7.91177958113275</v>
      </c>
      <c r="T104" s="195">
        <f t="shared" si="60"/>
        <v>-30.743039971878204</v>
      </c>
      <c r="U104" s="195" t="str">
        <f>IMDIV(IMSUM('Small Signal'!$B$75,IMPRODUCT(M104,'Small Signal'!$B$76)),IMSUM(IMPRODUCT('Small Signal'!$B$79,IMPOWER(M104,2)),IMSUM(IMPRODUCT(M104,'Small Signal'!$B$78),'Small Signal'!$B$77)))</f>
        <v>2.67346096008483-1.16613601764799i</v>
      </c>
      <c r="V104" s="195">
        <f t="shared" si="37"/>
        <v>9.2979004886209236</v>
      </c>
      <c r="W104" s="195">
        <f t="shared" si="38"/>
        <v>-23.566331839426315</v>
      </c>
      <c r="X104" s="195" t="str">
        <f>IMPRODUCT(IMDIV(IMSUM(IMPRODUCT(M104,'Small Signal'!$B$58*'Small Signal'!$B$6*'Small Signal'!$B$51*'Small Signal'!$B$7*'Small Signal'!$B$8),'Small Signal'!$B$58*'Small Signal'!$B$6*'Small Signal'!$B$51),IMSUM(IMSUM(IMPRODUCT(M104,('Small Signal'!$B$5+'Small Signal'!$B$6)*('Small Signal'!$B$57*'Small Signal'!$B$58)+'Small Signal'!$B$5*'Small Signal'!$B$58*('Small Signal'!$B$8+'Small Signal'!$B$9)+'Small Signal'!$B$6*'Small Signal'!$B$58*('Small Signal'!$B$8+'Small Signal'!$B$9)+'Small Signal'!$B$7*'Small Signal'!$B$8*('Small Signal'!$B$5+'Small Signal'!$B$6)),'Small Signal'!$B$6+'Small Signal'!$B$5),IMPRODUCT(IMPOWER(M104,2),'Small Signal'!$B$57*'Small Signal'!$B$58*'Small Signal'!$B$8*'Small Signal'!$B$7*('Small Signal'!$B$5+'Small Signal'!$B$6)+('Small Signal'!$B$5+'Small Signal'!$B$6)*('Small Signal'!$B$9*'Small Signal'!$B$8*'Small Signal'!$B$58*'Small Signal'!$B$7)))),-1)</f>
        <v>-7.25265965620726+19.3367015505087i</v>
      </c>
      <c r="Y104" s="195">
        <f t="shared" si="39"/>
        <v>26.300379493742511</v>
      </c>
      <c r="Z104" s="195">
        <f t="shared" si="40"/>
        <v>111.12308049319941</v>
      </c>
      <c r="AA104" s="195" t="str">
        <f t="shared" si="41"/>
        <v>1.00007789299643+0.00983439721840362i</v>
      </c>
      <c r="AB104" s="195" t="str">
        <f t="shared" si="42"/>
        <v>8.58254628219799+50.6357803426034i</v>
      </c>
      <c r="AC104" s="192">
        <f t="shared" si="43"/>
        <v>34.21215907487526</v>
      </c>
      <c r="AD104" s="195">
        <f t="shared" si="44"/>
        <v>80.380040521321206</v>
      </c>
      <c r="AE104" s="195" t="str">
        <f t="shared" si="45"/>
        <v>3.15952169290556+60.1535043409426i</v>
      </c>
      <c r="AF104" s="192">
        <f t="shared" si="46"/>
        <v>35.597183494963424</v>
      </c>
      <c r="AG104" s="195">
        <f t="shared" si="47"/>
        <v>86.993341246096605</v>
      </c>
      <c r="AI104" s="195" t="str">
        <f t="shared" si="48"/>
        <v>0.002-0.316803620369586i</v>
      </c>
      <c r="AJ104" s="195">
        <f t="shared" si="49"/>
        <v>0.22500000000000001</v>
      </c>
      <c r="AK104" s="195" t="str">
        <f t="shared" si="50"/>
        <v>0.0375-633.607240739172i</v>
      </c>
      <c r="AL104" s="195" t="str">
        <f t="shared" si="51"/>
        <v>0.149292794422423-0.105605908293065i</v>
      </c>
      <c r="AM104" s="195" t="str">
        <f t="shared" si="52"/>
        <v>0.898498424770021-0.00191255070560805i</v>
      </c>
      <c r="AN104" s="195" t="str">
        <f t="shared" si="53"/>
        <v>0.006+0.0217414027466148i</v>
      </c>
      <c r="AO104" s="195" t="str">
        <f t="shared" si="54"/>
        <v>2.13707099839932-1.27107217535441i</v>
      </c>
      <c r="AP104" s="195">
        <f t="shared" si="61"/>
        <v>7.91177958113275</v>
      </c>
      <c r="AQ104" s="195">
        <f t="shared" si="62"/>
        <v>-30.743039971878204</v>
      </c>
      <c r="AS104" s="195" t="str">
        <f t="shared" si="55"/>
        <v>0.921946821317424-0.0020136786456663i</v>
      </c>
      <c r="AT104" s="195" t="str">
        <f t="shared" si="56"/>
        <v>2.14319797740301-1.27971954985427i</v>
      </c>
      <c r="AU104" s="195">
        <f t="shared" si="63"/>
        <v>7.9455633612737984</v>
      </c>
      <c r="AV104" s="195">
        <f t="shared" si="64"/>
        <v>-30.841741440698303</v>
      </c>
    </row>
    <row r="105" spans="6:48" x14ac:dyDescent="0.2">
      <c r="F105" s="195">
        <v>103</v>
      </c>
      <c r="G105" s="210">
        <f t="shared" si="33"/>
        <v>169.31860333331451</v>
      </c>
      <c r="H105" s="210">
        <f t="shared" si="34"/>
        <v>168.57881372500071</v>
      </c>
      <c r="I105" s="196">
        <f t="shared" si="35"/>
        <v>1</v>
      </c>
      <c r="J105" s="195">
        <f t="shared" si="57"/>
        <v>1</v>
      </c>
      <c r="K105" s="195">
        <f t="shared" si="58"/>
        <v>1</v>
      </c>
      <c r="L105" s="195">
        <f>10^('Small Signal'!F105/30)</f>
        <v>2712.2725793320301</v>
      </c>
      <c r="M105" s="195" t="str">
        <f t="shared" si="36"/>
        <v>17041.7112195251i</v>
      </c>
      <c r="N105" s="195">
        <f>IF(D$32=1, IF(AND('Small Signal'!$B$62&gt;=1,FCCM=0),V105+0,S105+0), 0)</f>
        <v>7.7378816420224208</v>
      </c>
      <c r="O105" s="195">
        <f>IF(D$32=1, IF(AND('Small Signal'!$B$62&gt;=1,FCCM=0),W105,T105), 0)</f>
        <v>-32.753999640226205</v>
      </c>
      <c r="P105" s="195">
        <f>IF(AND('Small Signal'!$B$62&gt;=1,FCCM=0),AF105+0,AC105+0)</f>
        <v>33.445104102024004</v>
      </c>
      <c r="Q105" s="195">
        <f>IF(AND('Small Signal'!$B$62&gt;=1,FCCM=0),AG105,AD105)</f>
        <v>79.555536886774419</v>
      </c>
      <c r="R105" s="195" t="str">
        <f>IMDIV(IMSUM('Small Signal'!$B$2*'Small Signal'!$B$39*'Small Signal'!$B$63,IMPRODUCT(M105,'Small Signal'!$B$2*'Small Signal'!$B$39*'Small Signal'!$B$63*'Small Signal'!$B$14*'Small Signal'!$B$15)),IMSUM(IMPRODUCT('Small Signal'!$B$12*'Small Signal'!$B$14*('Small Signal'!$B$15+'Small Signal'!$B$39),IMPOWER(M105,2)),IMSUM(IMPRODUCT(M105,('Small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1.95524800141968-1.17485467393472i</v>
      </c>
      <c r="S105" s="195">
        <f t="shared" si="59"/>
        <v>7.7378816420224208</v>
      </c>
      <c r="T105" s="195">
        <f t="shared" si="60"/>
        <v>-32.753999640226205</v>
      </c>
      <c r="U105" s="195" t="str">
        <f>IMDIV(IMSUM('Small Signal'!$B$75,IMPRODUCT(M105,'Small Signal'!$B$76)),IMSUM(IMPRODUCT('Small Signal'!$B$79,IMPOWER(M105,2)),IMSUM(IMPRODUCT(M105,'Small Signal'!$B$78),'Small Signal'!$B$77)))</f>
        <v>2.61511437246703-1.23986605609441i</v>
      </c>
      <c r="V105" s="195">
        <f t="shared" si="37"/>
        <v>9.2304138792348862</v>
      </c>
      <c r="W105" s="195">
        <f t="shared" si="38"/>
        <v>-25.366351525635206</v>
      </c>
      <c r="X105" s="195" t="str">
        <f>IMPRODUCT(IMDIV(IMSUM(IMPRODUCT(M105,'Small Signal'!$B$58*'Small Signal'!$B$6*'Small Signal'!$B$51*'Small Signal'!$B$7*'Small Signal'!$B$8),'Small Signal'!$B$58*'Small Signal'!$B$6*'Small Signal'!$B$51),IMSUM(IMSUM(IMPRODUCT(M105,('Small Signal'!$B$5+'Small Signal'!$B$6)*('Small Signal'!$B$57*'Small Signal'!$B$58)+'Small Signal'!$B$5*'Small Signal'!$B$58*('Small Signal'!$B$8+'Small Signal'!$B$9)+'Small Signal'!$B$6*'Small Signal'!$B$58*('Small Signal'!$B$8+'Small Signal'!$B$9)+'Small Signal'!$B$7*'Small Signal'!$B$8*('Small Signal'!$B$5+'Small Signal'!$B$6)),'Small Signal'!$B$6+'Small Signal'!$B$5),IMPRODUCT(IMPOWER(M105,2),'Small Signal'!$B$57*'Small Signal'!$B$58*'Small Signal'!$B$8*'Small Signal'!$B$7*('Small Signal'!$B$5+'Small Signal'!$B$6)+('Small Signal'!$B$5+'Small Signal'!$B$6)*('Small Signal'!$B$9*'Small Signal'!$B$8*'Small Signal'!$B$58*'Small Signal'!$B$7)))),-1)</f>
        <v>-7.13221533391504+17.9213725334913i</v>
      </c>
      <c r="Y105" s="195">
        <f t="shared" si="39"/>
        <v>25.707222460001574</v>
      </c>
      <c r="Z105" s="195">
        <f t="shared" si="40"/>
        <v>112.3095365270006</v>
      </c>
      <c r="AA105" s="195" t="str">
        <f t="shared" si="41"/>
        <v>1.0000908156211+0.0106188273344612i</v>
      </c>
      <c r="AB105" s="195" t="str">
        <f t="shared" si="42"/>
        <v>8.52335886684795+46.2380103187429i</v>
      </c>
      <c r="AC105" s="192">
        <f t="shared" si="43"/>
        <v>33.445104102024004</v>
      </c>
      <c r="AD105" s="195">
        <f t="shared" si="44"/>
        <v>79.555536886774419</v>
      </c>
      <c r="AE105" s="195" t="str">
        <f t="shared" si="45"/>
        <v>3.56854265564758+55.7094305839463i</v>
      </c>
      <c r="AF105" s="192">
        <f t="shared" si="46"/>
        <v>34.936357968861991</v>
      </c>
      <c r="AG105" s="195">
        <f t="shared" si="47"/>
        <v>86.3348491205752</v>
      </c>
      <c r="AI105" s="195" t="str">
        <f t="shared" si="48"/>
        <v>0.002-0.293397765963278i</v>
      </c>
      <c r="AJ105" s="195">
        <f t="shared" si="49"/>
        <v>0.22500000000000001</v>
      </c>
      <c r="AK105" s="195" t="str">
        <f t="shared" si="50"/>
        <v>0.0375-586.795531926557i</v>
      </c>
      <c r="AL105" s="195" t="str">
        <f t="shared" si="51"/>
        <v>0.141438246843108-0.107950637414667i</v>
      </c>
      <c r="AM105" s="195" t="str">
        <f t="shared" si="52"/>
        <v>0.898497749324408-0.0020651231961517i</v>
      </c>
      <c r="AN105" s="195" t="str">
        <f t="shared" si="53"/>
        <v>0.006+0.023475826679958i</v>
      </c>
      <c r="AO105" s="195" t="str">
        <f t="shared" si="54"/>
        <v>2.04970198613038-1.31861491061534i</v>
      </c>
      <c r="AP105" s="195">
        <f t="shared" si="61"/>
        <v>7.7378816420224208</v>
      </c>
      <c r="AQ105" s="195">
        <f t="shared" si="62"/>
        <v>-32.753999640226205</v>
      </c>
      <c r="AS105" s="195" t="str">
        <f t="shared" si="55"/>
        <v>0.921946091597631-0.00217431846552837i</v>
      </c>
      <c r="AT105" s="195" t="str">
        <f t="shared" si="56"/>
        <v>2.05503022736502-1.3271642102561i</v>
      </c>
      <c r="AU105" s="195">
        <f t="shared" si="63"/>
        <v>7.7702889283446863</v>
      </c>
      <c r="AV105" s="195">
        <f t="shared" si="64"/>
        <v>-32.854879645924335</v>
      </c>
    </row>
    <row r="106" spans="6:48" x14ac:dyDescent="0.2">
      <c r="F106" s="195">
        <v>104</v>
      </c>
      <c r="G106" s="210">
        <f t="shared" si="33"/>
        <v>169.377580982224</v>
      </c>
      <c r="H106" s="210">
        <f t="shared" si="34"/>
        <v>168.57881372500071</v>
      </c>
      <c r="I106" s="196">
        <f t="shared" si="35"/>
        <v>1</v>
      </c>
      <c r="J106" s="195">
        <f t="shared" si="57"/>
        <v>1</v>
      </c>
      <c r="K106" s="195">
        <f t="shared" si="58"/>
        <v>1</v>
      </c>
      <c r="L106" s="195">
        <f>10^('Small Signal'!F106/30)</f>
        <v>2928.6445646252391</v>
      </c>
      <c r="M106" s="195" t="str">
        <f t="shared" si="36"/>
        <v>18401.2164984047i</v>
      </c>
      <c r="N106" s="195">
        <f>IF(D$32=1, IF(AND('Small Signal'!$B$62&gt;=1,FCCM=0),V106+0,S106+0), 0)</f>
        <v>7.5435204062614014</v>
      </c>
      <c r="O106" s="195">
        <f>IF(D$32=1, IF(AND('Small Signal'!$B$62&gt;=1,FCCM=0),W106,T106), 0)</f>
        <v>-34.839081004533618</v>
      </c>
      <c r="P106" s="195">
        <f>IF(AND('Small Signal'!$B$62&gt;=1,FCCM=0),AF106+0,AC106+0)</f>
        <v>32.667927612962714</v>
      </c>
      <c r="Q106" s="195">
        <f>IF(AND('Small Signal'!$B$62&gt;=1,FCCM=0),AG106,AD106)</f>
        <v>78.753990945861148</v>
      </c>
      <c r="R106" s="195" t="str">
        <f>IMDIV(IMSUM('Small Signal'!$B$2*'Small Signal'!$B$39*'Small Signal'!$B$63,IMPRODUCT(M106,'Small Signal'!$B$2*'Small Signal'!$B$39*'Small Signal'!$B$63*'Small Signal'!$B$14*'Small Signal'!$B$15)),IMSUM(IMPRODUCT('Small Signal'!$B$12*'Small Signal'!$B$14*('Small Signal'!$B$15+'Small Signal'!$B$39),IMPOWER(M106,2)),IMSUM(IMPRODUCT(M106,('Small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1.87503601677565-1.22018275171966i</v>
      </c>
      <c r="S106" s="195">
        <f t="shared" si="59"/>
        <v>7.5435204062614014</v>
      </c>
      <c r="T106" s="195">
        <f t="shared" si="60"/>
        <v>-34.839081004533618</v>
      </c>
      <c r="U106" s="195" t="str">
        <f>IMDIV(IMSUM('Small Signal'!$B$75,IMPRODUCT(M106,'Small Signal'!$B$76)),IMSUM(IMPRODUCT('Small Signal'!$B$79,IMPOWER(M106,2)),IMSUM(IMPRODUCT(M106,'Small Signal'!$B$78),'Small Signal'!$B$77)))</f>
        <v>2.54906637766565-1.31514758440096i</v>
      </c>
      <c r="V106" s="195">
        <f t="shared" si="37"/>
        <v>9.1526010851381994</v>
      </c>
      <c r="W106" s="195">
        <f t="shared" si="38"/>
        <v>-27.290704480134515</v>
      </c>
      <c r="X106" s="195" t="str">
        <f>IMPRODUCT(IMDIV(IMSUM(IMPRODUCT(M106,'Small Signal'!$B$58*'Small Signal'!$B$6*'Small Signal'!$B$51*'Small Signal'!$B$7*'Small Signal'!$B$8),'Small Signal'!$B$58*'Small Signal'!$B$6*'Small Signal'!$B$51),IMSUM(IMSUM(IMPRODUCT(M106,('Small Signal'!$B$5+'Small Signal'!$B$6)*('Small Signal'!$B$57*'Small Signal'!$B$58)+'Small Signal'!$B$5*'Small Signal'!$B$58*('Small Signal'!$B$8+'Small Signal'!$B$9)+'Small Signal'!$B$6*'Small Signal'!$B$58*('Small Signal'!$B$8+'Small Signal'!$B$9)+'Small Signal'!$B$7*'Small Signal'!$B$8*('Small Signal'!$B$5+'Small Signal'!$B$6)),'Small Signal'!$B$6+'Small Signal'!$B$5),IMPRODUCT(IMPOWER(M106,2),'Small Signal'!$B$57*'Small Signal'!$B$58*'Small Signal'!$B$8*'Small Signal'!$B$7*('Small Signal'!$B$5+'Small Signal'!$B$6)+('Small Signal'!$B$5+'Small Signal'!$B$6)*('Small Signal'!$B$9*'Small Signal'!$B$8*'Small Signal'!$B$58*'Small Signal'!$B$7)))),-1)</f>
        <v>-7.02883429686808+16.6102737166318i</v>
      </c>
      <c r="Y106" s="195">
        <f t="shared" si="39"/>
        <v>25.124407206701321</v>
      </c>
      <c r="Z106" s="195">
        <f t="shared" si="40"/>
        <v>113.59307195039476</v>
      </c>
      <c r="AA106" s="195" t="str">
        <f t="shared" si="41"/>
        <v>1.00010588195568+0.0114658068774671i</v>
      </c>
      <c r="AB106" s="195" t="str">
        <f t="shared" si="42"/>
        <v>8.38455460152197+42.1673526657694i</v>
      </c>
      <c r="AC106" s="192">
        <f t="shared" si="43"/>
        <v>32.667927612962714</v>
      </c>
      <c r="AD106" s="195">
        <f t="shared" si="44"/>
        <v>78.753990945861148</v>
      </c>
      <c r="AE106" s="195" t="str">
        <f t="shared" si="45"/>
        <v>3.92799617433746+51.5846447015702i</v>
      </c>
      <c r="AF106" s="192">
        <f t="shared" si="46"/>
        <v>34.275517875883011</v>
      </c>
      <c r="AG106" s="195">
        <f t="shared" si="47"/>
        <v>85.645523455281904</v>
      </c>
      <c r="AI106" s="195" t="str">
        <f t="shared" si="48"/>
        <v>0.002-0.27172116584974i</v>
      </c>
      <c r="AJ106" s="195">
        <f t="shared" si="49"/>
        <v>0.22500000000000001</v>
      </c>
      <c r="AK106" s="195" t="str">
        <f t="shared" si="50"/>
        <v>0.0375-543.442331699481i</v>
      </c>
      <c r="AL106" s="195" t="str">
        <f t="shared" si="51"/>
        <v>0.133276194891268-0.109740364706774i</v>
      </c>
      <c r="AM106" s="195" t="str">
        <f t="shared" si="52"/>
        <v>0.898496961813922-0.00222986677992804i</v>
      </c>
      <c r="AN106" s="195" t="str">
        <f t="shared" si="53"/>
        <v>0.006+0.0253486145641289i</v>
      </c>
      <c r="AO106" s="195" t="str">
        <f t="shared" si="54"/>
        <v>1.95610455752886-1.36150777288752i</v>
      </c>
      <c r="AP106" s="195">
        <f t="shared" si="61"/>
        <v>7.5435204062614014</v>
      </c>
      <c r="AQ106" s="195">
        <f t="shared" si="62"/>
        <v>-34.839081004533618</v>
      </c>
      <c r="AS106" s="195" t="str">
        <f t="shared" si="55"/>
        <v>0.921945240808275-0.00234777290749662i</v>
      </c>
      <c r="AT106" s="195" t="str">
        <f t="shared" si="56"/>
        <v>1.96063998633144-1.36986977561679i</v>
      </c>
      <c r="AU106" s="195">
        <f t="shared" si="63"/>
        <v>7.5744555665844118</v>
      </c>
      <c r="AV106" s="195">
        <f t="shared" si="64"/>
        <v>-34.941423069403001</v>
      </c>
    </row>
    <row r="107" spans="6:48" x14ac:dyDescent="0.2">
      <c r="F107" s="195">
        <v>105</v>
      </c>
      <c r="G107" s="210">
        <f t="shared" si="33"/>
        <v>169.44125344228087</v>
      </c>
      <c r="H107" s="210">
        <f t="shared" si="34"/>
        <v>168.57881372500071</v>
      </c>
      <c r="I107" s="196">
        <f t="shared" si="35"/>
        <v>1</v>
      </c>
      <c r="J107" s="195">
        <f t="shared" si="57"/>
        <v>1</v>
      </c>
      <c r="K107" s="195">
        <f t="shared" si="58"/>
        <v>1</v>
      </c>
      <c r="L107" s="195">
        <f>10^('Small Signal'!F107/30)</f>
        <v>3162.2776601683804</v>
      </c>
      <c r="M107" s="195" t="str">
        <f t="shared" si="36"/>
        <v>19869.1765315922i</v>
      </c>
      <c r="N107" s="195">
        <f>IF(D$32=1, IF(AND('Small Signal'!$B$62&gt;=1,FCCM=0),V107+0,S107+0), 0)</f>
        <v>7.3273378432677525</v>
      </c>
      <c r="O107" s="195">
        <f>IF(D$32=1, IF(AND('Small Signal'!$B$62&gt;=1,FCCM=0),W107,T107), 0)</f>
        <v>-36.991157082814084</v>
      </c>
      <c r="P107" s="195">
        <f>IF(AND('Small Signal'!$B$62&gt;=1,FCCM=0),AF107+0,AC107+0)</f>
        <v>31.880580877044316</v>
      </c>
      <c r="Q107" s="195">
        <f>IF(AND('Small Signal'!$B$62&gt;=1,FCCM=0),AG107,AD107)</f>
        <v>77.982666697659738</v>
      </c>
      <c r="R107" s="195" t="str">
        <f>IMDIV(IMSUM('Small Signal'!$B$2*'Small Signal'!$B$39*'Small Signal'!$B$63,IMPRODUCT(M107,'Small Signal'!$B$2*'Small Signal'!$B$39*'Small Signal'!$B$63*'Small Signal'!$B$14*'Small Signal'!$B$15)),IMSUM(IMPRODUCT('Small Signal'!$B$12*'Small Signal'!$B$14*('Small Signal'!$B$15+'Small Signal'!$B$39),IMPOWER(M107,2)),IMSUM(IMPRODUCT(M107,('Small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1.78888115150414-1.26139220727521i</v>
      </c>
      <c r="S107" s="195">
        <f t="shared" si="59"/>
        <v>7.3273378432677525</v>
      </c>
      <c r="T107" s="195">
        <f t="shared" si="60"/>
        <v>-36.991157082814084</v>
      </c>
      <c r="U107" s="195" t="str">
        <f>IMDIV(IMSUM('Small Signal'!$B$75,IMPRODUCT(M107,'Small Signal'!$B$76)),IMSUM(IMPRODUCT('Small Signal'!$B$79,IMPOWER(M107,2)),IMSUM(IMPRODUCT(M107,'Small Signal'!$B$78),'Small Signal'!$B$77)))</f>
        <v>2.47463517295761-1.39125365066879i</v>
      </c>
      <c r="V107" s="195">
        <f t="shared" si="37"/>
        <v>9.0630303213817118</v>
      </c>
      <c r="W107" s="195">
        <f t="shared" si="38"/>
        <v>-29.344936564275415</v>
      </c>
      <c r="X107" s="195" t="str">
        <f>IMPRODUCT(IMDIV(IMSUM(IMPRODUCT(M107,'Small Signal'!$B$58*'Small Signal'!$B$6*'Small Signal'!$B$51*'Small Signal'!$B$7*'Small Signal'!$B$8),'Small Signal'!$B$58*'Small Signal'!$B$6*'Small Signal'!$B$51),IMSUM(IMSUM(IMPRODUCT(M107,('Small Signal'!$B$5+'Small Signal'!$B$6)*('Small Signal'!$B$57*'Small Signal'!$B$58)+'Small Signal'!$B$5*'Small Signal'!$B$58*('Small Signal'!$B$8+'Small Signal'!$B$9)+'Small Signal'!$B$6*'Small Signal'!$B$58*('Small Signal'!$B$8+'Small Signal'!$B$9)+'Small Signal'!$B$7*'Small Signal'!$B$8*('Small Signal'!$B$5+'Small Signal'!$B$6)),'Small Signal'!$B$6+'Small Signal'!$B$5),IMPRODUCT(IMPOWER(M107,2),'Small Signal'!$B$57*'Small Signal'!$B$58*'Small Signal'!$B$8*'Small Signal'!$B$7*('Small Signal'!$B$5+'Small Signal'!$B$6)+('Small Signal'!$B$5+'Small Signal'!$B$6)*('Small Signal'!$B$9*'Small Signal'!$B$8*'Small Signal'!$B$58*'Small Signal'!$B$7)))),-1)</f>
        <v>-6.94009830107497+15.3959639292574i</v>
      </c>
      <c r="Y107" s="195">
        <f t="shared" si="39"/>
        <v>24.55324303377656</v>
      </c>
      <c r="Z107" s="195">
        <f t="shared" si="40"/>
        <v>114.97382378047382</v>
      </c>
      <c r="AA107" s="195" t="str">
        <f t="shared" si="41"/>
        <v>1.00012344755047+0.0123803183309705i</v>
      </c>
      <c r="AB107" s="195" t="str">
        <f t="shared" si="42"/>
        <v>8.17571245553678+38.4065671197293i</v>
      </c>
      <c r="AC107" s="192">
        <f t="shared" si="43"/>
        <v>31.880580877044316</v>
      </c>
      <c r="AD107" s="195">
        <f t="shared" si="44"/>
        <v>77.982666697659738</v>
      </c>
      <c r="AE107" s="195" t="str">
        <f t="shared" si="45"/>
        <v>4.24547966252089+47.7548309582978i</v>
      </c>
      <c r="AF107" s="192">
        <f t="shared" si="46"/>
        <v>33.614535731772619</v>
      </c>
      <c r="AG107" s="195">
        <f t="shared" si="47"/>
        <v>84.919671006252017</v>
      </c>
      <c r="AI107" s="195" t="str">
        <f t="shared" si="48"/>
        <v>0.002-0.251646060522435i</v>
      </c>
      <c r="AJ107" s="195">
        <f t="shared" si="49"/>
        <v>0.22500000000000001</v>
      </c>
      <c r="AK107" s="195" t="str">
        <f t="shared" si="50"/>
        <v>0.0375-503.29212104487i</v>
      </c>
      <c r="AL107" s="195" t="str">
        <f t="shared" si="51"/>
        <v>0.124889206356146-0.110925631337444i</v>
      </c>
      <c r="AM107" s="195" t="str">
        <f t="shared" si="52"/>
        <v>0.898496043645848-0.00240775230379737i</v>
      </c>
      <c r="AN107" s="195" t="str">
        <f t="shared" si="53"/>
        <v>0.006+0.0273708044057648i</v>
      </c>
      <c r="AO107" s="195" t="str">
        <f t="shared" si="54"/>
        <v>1.85680377280683-1.39875275002389i</v>
      </c>
      <c r="AP107" s="195">
        <f t="shared" si="61"/>
        <v>7.3273378432677525</v>
      </c>
      <c r="AQ107" s="195">
        <f t="shared" si="62"/>
        <v>-36.991157082814084</v>
      </c>
      <c r="AS107" s="195" t="str">
        <f t="shared" si="55"/>
        <v>0.921944248862695-0.00253506414475441i</v>
      </c>
      <c r="AT107" s="195" t="str">
        <f t="shared" si="56"/>
        <v>1.86056909028677-1.40683733265589i</v>
      </c>
      <c r="AU107" s="195">
        <f t="shared" si="63"/>
        <v>7.3567143201888152</v>
      </c>
      <c r="AV107" s="195">
        <f t="shared" si="64"/>
        <v>-37.094122244797504</v>
      </c>
    </row>
    <row r="108" spans="6:48" x14ac:dyDescent="0.2">
      <c r="F108" s="195">
        <v>106</v>
      </c>
      <c r="G108" s="210">
        <f t="shared" si="33"/>
        <v>169.50999262010066</v>
      </c>
      <c r="H108" s="210">
        <f t="shared" si="34"/>
        <v>168.57881372500071</v>
      </c>
      <c r="I108" s="196">
        <f t="shared" si="35"/>
        <v>1</v>
      </c>
      <c r="J108" s="195">
        <f t="shared" si="57"/>
        <v>1</v>
      </c>
      <c r="K108" s="195">
        <f t="shared" si="58"/>
        <v>1</v>
      </c>
      <c r="L108" s="195">
        <f>10^('Small Signal'!F108/30)</f>
        <v>3414.5488738336035</v>
      </c>
      <c r="M108" s="195" t="str">
        <f t="shared" si="36"/>
        <v>21454.2433147179i</v>
      </c>
      <c r="N108" s="195">
        <f>IF(D$32=1, IF(AND('Small Signal'!$B$62&gt;=1,FCCM=0),V108+0,S108+0), 0)</f>
        <v>7.0881162086600868</v>
      </c>
      <c r="O108" s="195">
        <f>IF(D$32=1, IF(AND('Small Signal'!$B$62&gt;=1,FCCM=0),W108,T108), 0)</f>
        <v>-39.201700556106957</v>
      </c>
      <c r="P108" s="195">
        <f>IF(AND('Small Signal'!$B$62&gt;=1,FCCM=0),AF108+0,AC108+0)</f>
        <v>31.083237712292878</v>
      </c>
      <c r="Q108" s="195">
        <f>IF(AND('Small Signal'!$B$62&gt;=1,FCCM=0),AG108,AD108)</f>
        <v>77.249431176785436</v>
      </c>
      <c r="R108" s="195" t="str">
        <f>IMDIV(IMSUM('Small Signal'!$B$2*'Small Signal'!$B$39*'Small Signal'!$B$63,IMPRODUCT(M108,'Small Signal'!$B$2*'Small Signal'!$B$39*'Small Signal'!$B$63*'Small Signal'!$B$14*'Small Signal'!$B$15)),IMSUM(IMPRODUCT('Small Signal'!$B$12*'Small Signal'!$B$14*('Small Signal'!$B$15+'Small Signal'!$B$39),IMPOWER(M108,2)),IMSUM(IMPRODUCT(M108,('Small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1.69722178535238-1.29753594764002i</v>
      </c>
      <c r="S108" s="195">
        <f t="shared" si="59"/>
        <v>7.0881162086600868</v>
      </c>
      <c r="T108" s="195">
        <f t="shared" si="60"/>
        <v>-39.201700556106957</v>
      </c>
      <c r="U108" s="195" t="str">
        <f>IMDIV(IMSUM('Small Signal'!$B$75,IMPRODUCT(M108,'Small Signal'!$B$76)),IMSUM(IMPRODUCT('Small Signal'!$B$79,IMPOWER(M108,2)),IMSUM(IMPRODUCT(M108,'Small Signal'!$B$78),'Small Signal'!$B$77)))</f>
        <v>2.39118349951894-1.46728039969577i</v>
      </c>
      <c r="V108" s="195">
        <f t="shared" si="37"/>
        <v>8.9601172029628415</v>
      </c>
      <c r="W108" s="195">
        <f t="shared" si="38"/>
        <v>-31.534152241889558</v>
      </c>
      <c r="X108" s="195" t="str">
        <f>IMPRODUCT(IMDIV(IMSUM(IMPRODUCT(M108,'Small Signal'!$B$58*'Small Signal'!$B$6*'Small Signal'!$B$51*'Small Signal'!$B$7*'Small Signal'!$B$8),'Small Signal'!$B$58*'Small Signal'!$B$6*'Small Signal'!$B$51),IMSUM(IMSUM(IMPRODUCT(M108,('Small Signal'!$B$5+'Small Signal'!$B$6)*('Small Signal'!$B$57*'Small Signal'!$B$58)+'Small Signal'!$B$5*'Small Signal'!$B$58*('Small Signal'!$B$8+'Small Signal'!$B$9)+'Small Signal'!$B$6*'Small Signal'!$B$58*('Small Signal'!$B$8+'Small Signal'!$B$9)+'Small Signal'!$B$7*'Small Signal'!$B$8*('Small Signal'!$B$5+'Small Signal'!$B$6)),'Small Signal'!$B$6+'Small Signal'!$B$5),IMPRODUCT(IMPOWER(M108,2),'Small Signal'!$B$57*'Small Signal'!$B$58*'Small Signal'!$B$8*'Small Signal'!$B$7*('Small Signal'!$B$5+'Small Signal'!$B$6)+('Small Signal'!$B$5+'Small Signal'!$B$6)*('Small Signal'!$B$9*'Small Signal'!$B$8*'Small Signal'!$B$58*'Small Signal'!$B$7)))),-1)</f>
        <v>-6.86392891381852+14.2715138029431i</v>
      </c>
      <c r="Y108" s="195">
        <f t="shared" si="39"/>
        <v>23.995121503632781</v>
      </c>
      <c r="Z108" s="195">
        <f t="shared" si="40"/>
        <v>116.45113173289239</v>
      </c>
      <c r="AA108" s="195" t="str">
        <f t="shared" si="41"/>
        <v>1.00014392690286+0.0133677397397452i</v>
      </c>
      <c r="AB108" s="195" t="str">
        <f t="shared" si="42"/>
        <v>7.90638986205519+34.9396040296834i</v>
      </c>
      <c r="AC108" s="192">
        <f t="shared" si="43"/>
        <v>31.083237712292878</v>
      </c>
      <c r="AD108" s="195">
        <f t="shared" si="44"/>
        <v>77.249431176785436</v>
      </c>
      <c r="AE108" s="195" t="str">
        <f t="shared" si="45"/>
        <v>4.52739891645225+44.1971166789053i</v>
      </c>
      <c r="AF108" s="192">
        <f t="shared" si="46"/>
        <v>32.953212887104975</v>
      </c>
      <c r="AG108" s="195">
        <f t="shared" si="47"/>
        <v>84.151220239731018</v>
      </c>
      <c r="AI108" s="195" t="str">
        <f t="shared" si="48"/>
        <v>0.002-0.233054129509659i</v>
      </c>
      <c r="AJ108" s="195">
        <f t="shared" si="49"/>
        <v>0.22500000000000001</v>
      </c>
      <c r="AK108" s="195" t="str">
        <f t="shared" si="50"/>
        <v>0.0375-466.108259019318i</v>
      </c>
      <c r="AL108" s="195" t="str">
        <f t="shared" si="51"/>
        <v>0.116369830538504-0.111472600005253i</v>
      </c>
      <c r="AM108" s="195" t="str">
        <f t="shared" si="52"/>
        <v>0.898494973142841-0.00259982803713815i</v>
      </c>
      <c r="AN108" s="195" t="str">
        <f t="shared" si="53"/>
        <v>0.006+0.0295543147702747i</v>
      </c>
      <c r="AO108" s="195" t="str">
        <f t="shared" si="54"/>
        <v>1.75253173626816-1.42941662370454i</v>
      </c>
      <c r="AP108" s="195">
        <f t="shared" si="61"/>
        <v>7.0881162086600868</v>
      </c>
      <c r="AQ108" s="195">
        <f t="shared" si="62"/>
        <v>-39.201700556106957</v>
      </c>
      <c r="AS108" s="195" t="str">
        <f t="shared" si="55"/>
        <v>0.921943092341753-0.00273729586464393i</v>
      </c>
      <c r="AT108" s="195" t="str">
        <f t="shared" si="56"/>
        <v>1.75556698071415-1.43713664713345i</v>
      </c>
      <c r="AU108" s="195">
        <f t="shared" si="63"/>
        <v>7.1158599169002459</v>
      </c>
      <c r="AV108" s="195">
        <f t="shared" si="64"/>
        <v>-39.304333031053176</v>
      </c>
    </row>
    <row r="109" spans="6:48" x14ac:dyDescent="0.2">
      <c r="F109" s="195">
        <v>107</v>
      </c>
      <c r="G109" s="210">
        <f t="shared" si="33"/>
        <v>169.58419941347643</v>
      </c>
      <c r="H109" s="210">
        <f t="shared" si="34"/>
        <v>168.57881372500071</v>
      </c>
      <c r="I109" s="196">
        <f t="shared" si="35"/>
        <v>1</v>
      </c>
      <c r="J109" s="195">
        <f t="shared" si="57"/>
        <v>1</v>
      </c>
      <c r="K109" s="195">
        <f t="shared" si="58"/>
        <v>1</v>
      </c>
      <c r="L109" s="195">
        <f>10^('Small Signal'!F109/30)</f>
        <v>3686.9450645195784</v>
      </c>
      <c r="M109" s="195" t="str">
        <f t="shared" si="36"/>
        <v>23165.7590577677i</v>
      </c>
      <c r="N109" s="195">
        <f>IF(D$32=1, IF(AND('Small Signal'!$B$62&gt;=1,FCCM=0),V109+0,S109+0), 0)</f>
        <v>6.8248235966136068</v>
      </c>
      <c r="O109" s="195">
        <f>IF(D$32=1, IF(AND('Small Signal'!$B$62&gt;=1,FCCM=0),W109,T109), 0)</f>
        <v>-41.460921626195208</v>
      </c>
      <c r="P109" s="195">
        <f>IF(AND('Small Signal'!$B$62&gt;=1,FCCM=0),AF109+0,AC109+0)</f>
        <v>30.276325675350542</v>
      </c>
      <c r="Q109" s="195">
        <f>IF(AND('Small Signal'!$B$62&gt;=1,FCCM=0),AG109,AD109)</f>
        <v>76.562451319128314</v>
      </c>
      <c r="R109" s="195" t="str">
        <f>IMDIV(IMSUM('Small Signal'!$B$2*'Small Signal'!$B$39*'Small Signal'!$B$63,IMPRODUCT(M109,'Small Signal'!$B$2*'Small Signal'!$B$39*'Small Signal'!$B$63*'Small Signal'!$B$14*'Small Signal'!$B$15)),IMSUM(IMPRODUCT('Small Signal'!$B$12*'Small Signal'!$B$14*('Small Signal'!$B$15+'Small Signal'!$B$39),IMPOWER(M109,2)),IMSUM(IMPRODUCT(M109,('Small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1.60069095335738-1.32771406295827i</v>
      </c>
      <c r="S109" s="195">
        <f t="shared" si="59"/>
        <v>6.8248235966136068</v>
      </c>
      <c r="T109" s="195">
        <f t="shared" si="60"/>
        <v>-41.460921626195208</v>
      </c>
      <c r="U109" s="195" t="str">
        <f>IMDIV(IMSUM('Small Signal'!$B$75,IMPRODUCT(M109,'Small Signal'!$B$76)),IMSUM(IMPRODUCT('Small Signal'!$B$79,IMPOWER(M109,2)),IMSUM(IMPRODUCT(M109,'Small Signal'!$B$78),'Small Signal'!$B$77)))</f>
        <v>2.29815729319711-1.5421351972849i</v>
      </c>
      <c r="V109" s="195">
        <f t="shared" si="37"/>
        <v>8.8421220891873649</v>
      </c>
      <c r="W109" s="195">
        <f t="shared" si="38"/>
        <v>-33.862843046277398</v>
      </c>
      <c r="X109" s="195" t="str">
        <f>IMPRODUCT(IMDIV(IMSUM(IMPRODUCT(M109,'Small Signal'!$B$58*'Small Signal'!$B$6*'Small Signal'!$B$51*'Small Signal'!$B$7*'Small Signal'!$B$8),'Small Signal'!$B$58*'Small Signal'!$B$6*'Small Signal'!$B$51),IMSUM(IMSUM(IMPRODUCT(M109,('Small Signal'!$B$5+'Small Signal'!$B$6)*('Small Signal'!$B$57*'Small Signal'!$B$58)+'Small Signal'!$B$5*'Small Signal'!$B$58*('Small Signal'!$B$8+'Small Signal'!$B$9)+'Small Signal'!$B$6*'Small Signal'!$B$58*('Small Signal'!$B$8+'Small Signal'!$B$9)+'Small Signal'!$B$7*'Small Signal'!$B$8*('Small Signal'!$B$5+'Small Signal'!$B$6)),'Small Signal'!$B$6+'Small Signal'!$B$5),IMPRODUCT(IMPOWER(M109,2),'Small Signal'!$B$57*'Small Signal'!$B$58*'Small Signal'!$B$8*'Small Signal'!$B$7*('Small Signal'!$B$5+'Small Signal'!$B$6)+('Small Signal'!$B$5+'Small Signal'!$B$6)*('Small Signal'!$B$9*'Small Signal'!$B$8*'Small Signal'!$B$58*'Small Signal'!$B$7)))),-1)</f>
        <v>-6.79854001232187+13.2304769084415i</v>
      </c>
      <c r="Y109" s="195">
        <f t="shared" si="39"/>
        <v>23.451502078736926</v>
      </c>
      <c r="Z109" s="195">
        <f t="shared" si="40"/>
        <v>118.0233729453235</v>
      </c>
      <c r="AA109" s="195" t="str">
        <f t="shared" si="41"/>
        <v>1.00016780322174+0.0144338757696554i</v>
      </c>
      <c r="AB109" s="195" t="str">
        <f t="shared" si="42"/>
        <v>7.58621329604119+31.7512752953337i</v>
      </c>
      <c r="AC109" s="192">
        <f t="shared" si="43"/>
        <v>30.276325675350542</v>
      </c>
      <c r="AD109" s="195">
        <f t="shared" si="44"/>
        <v>76.562451319128314</v>
      </c>
      <c r="AE109" s="195" t="str">
        <f t="shared" si="45"/>
        <v>4.77906980496287+40.8899848427621i</v>
      </c>
      <c r="AF109" s="192">
        <f t="shared" si="46"/>
        <v>32.291262372592627</v>
      </c>
      <c r="AG109" s="195">
        <f t="shared" si="47"/>
        <v>83.333725880878234</v>
      </c>
      <c r="AI109" s="195" t="str">
        <f t="shared" si="48"/>
        <v>0.002-0.215835794006648i</v>
      </c>
      <c r="AJ109" s="195">
        <f t="shared" si="49"/>
        <v>0.22500000000000001</v>
      </c>
      <c r="AK109" s="195" t="str">
        <f t="shared" si="50"/>
        <v>0.0375-431.671588013297i</v>
      </c>
      <c r="AL109" s="195" t="str">
        <f t="shared" si="51"/>
        <v>0.107816682376599-0.11136536181134i</v>
      </c>
      <c r="AM109" s="195" t="str">
        <f t="shared" si="52"/>
        <v>0.898493725031185-0.00280722584126375i</v>
      </c>
      <c r="AN109" s="195" t="str">
        <f t="shared" si="53"/>
        <v>0.006+0.0319120150285575i</v>
      </c>
      <c r="AO109" s="195" t="str">
        <f t="shared" si="54"/>
        <v>1.64421727104798-1.45268254461017i</v>
      </c>
      <c r="AP109" s="195">
        <f t="shared" si="61"/>
        <v>6.8248235966136068</v>
      </c>
      <c r="AQ109" s="195">
        <f t="shared" si="62"/>
        <v>-41.460921626195208</v>
      </c>
      <c r="AS109" s="195" t="str">
        <f t="shared" si="55"/>
        <v>0.921941743940993-0.00295565976373703i</v>
      </c>
      <c r="AT109" s="195" t="str">
        <f t="shared" si="56"/>
        <v>1.64657927462147-1.45995796351988i</v>
      </c>
      <c r="AU109" s="195">
        <f t="shared" si="63"/>
        <v>6.8508761628609935</v>
      </c>
      <c r="AV109" s="195">
        <f t="shared" si="64"/>
        <v>-41.562159806827502</v>
      </c>
    </row>
    <row r="110" spans="6:48" x14ac:dyDescent="0.2">
      <c r="F110" s="195">
        <v>108</v>
      </c>
      <c r="G110" s="210">
        <f t="shared" si="33"/>
        <v>169.6643058493035</v>
      </c>
      <c r="H110" s="210">
        <f t="shared" si="34"/>
        <v>168.57881372500071</v>
      </c>
      <c r="I110" s="196">
        <f t="shared" si="35"/>
        <v>1</v>
      </c>
      <c r="J110" s="195">
        <f t="shared" si="57"/>
        <v>1</v>
      </c>
      <c r="K110" s="195">
        <f t="shared" si="58"/>
        <v>1</v>
      </c>
      <c r="L110" s="195">
        <f>10^('Small Signal'!F110/30)</f>
        <v>3981.0717055349769</v>
      </c>
      <c r="M110" s="195" t="str">
        <f t="shared" si="36"/>
        <v>25013.8112470457i</v>
      </c>
      <c r="N110" s="195">
        <f>IF(D$32=1, IF(AND('Small Signal'!$B$62&gt;=1,FCCM=0),V110+0,S110+0), 0)</f>
        <v>6.5366554099750189</v>
      </c>
      <c r="O110" s="195">
        <f>IF(D$32=1, IF(AND('Small Signal'!$B$62&gt;=1,FCCM=0),W110,T110), 0)</f>
        <v>-43.757981920653961</v>
      </c>
      <c r="P110" s="195">
        <f>IF(AND('Small Signal'!$B$62&gt;=1,FCCM=0),AF110+0,AC110+0)</f>
        <v>29.460546827340718</v>
      </c>
      <c r="Q110" s="195">
        <f>IF(AND('Small Signal'!$B$62&gt;=1,FCCM=0),AG110,AD110)</f>
        <v>75.929821002739132</v>
      </c>
      <c r="R110" s="195" t="str">
        <f>IMDIV(IMSUM('Small Signal'!$B$2*'Small Signal'!$B$39*'Small Signal'!$B$63,IMPRODUCT(M110,'Small Signal'!$B$2*'Small Signal'!$B$39*'Small Signal'!$B$63*'Small Signal'!$B$14*'Small Signal'!$B$15)),IMSUM(IMPRODUCT('Small Signal'!$B$12*'Small Signal'!$B$14*('Small Signal'!$B$15+'Small Signal'!$B$39),IMPOWER(M110,2)),IMSUM(IMPRODUCT(M110,('Small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1.50011061044475-1.35112190403222i</v>
      </c>
      <c r="S110" s="195">
        <f t="shared" si="59"/>
        <v>6.5366554099750189</v>
      </c>
      <c r="T110" s="195">
        <f t="shared" si="60"/>
        <v>-43.757981920653961</v>
      </c>
      <c r="U110" s="195" t="str">
        <f>IMDIV(IMSUM('Small Signal'!$B$75,IMPRODUCT(M110,'Small Signal'!$B$76)),IMSUM(IMPRODUCT('Small Signal'!$B$79,IMPOWER(M110,2)),IMSUM(IMPRODUCT(M110,'Small Signal'!$B$78),'Small Signal'!$B$77)))</f>
        <v>2.19513211903064-1.61453237917896i</v>
      </c>
      <c r="V110" s="195">
        <f t="shared" si="37"/>
        <v>8.7071516432648117</v>
      </c>
      <c r="W110" s="195">
        <f t="shared" si="38"/>
        <v>-36.334697006283442</v>
      </c>
      <c r="X110" s="195" t="str">
        <f>IMPRODUCT(IMDIV(IMSUM(IMPRODUCT(M110,'Small Signal'!$B$58*'Small Signal'!$B$6*'Small Signal'!$B$51*'Small Signal'!$B$7*'Small Signal'!$B$8),'Small Signal'!$B$58*'Small Signal'!$B$6*'Small Signal'!$B$51),IMSUM(IMSUM(IMPRODUCT(M110,('Small Signal'!$B$5+'Small Signal'!$B$6)*('Small Signal'!$B$57*'Small Signal'!$B$58)+'Small Signal'!$B$5*'Small Signal'!$B$58*('Small Signal'!$B$8+'Small Signal'!$B$9)+'Small Signal'!$B$6*'Small Signal'!$B$58*('Small Signal'!$B$8+'Small Signal'!$B$9)+'Small Signal'!$B$7*'Small Signal'!$B$8*('Small Signal'!$B$5+'Small Signal'!$B$6)),'Small Signal'!$B$6+'Small Signal'!$B$5),IMPRODUCT(IMPOWER(M110,2),'Small Signal'!$B$57*'Small Signal'!$B$58*'Small Signal'!$B$8*'Small Signal'!$B$7*('Small Signal'!$B$5+'Small Signal'!$B$6)+('Small Signal'!$B$5+'Small Signal'!$B$6)*('Small Signal'!$B$9*'Small Signal'!$B$8*'Small Signal'!$B$58*'Small Signal'!$B$7)))),-1)</f>
        <v>-6.74239677070289+12.2668612989436i</v>
      </c>
      <c r="Y110" s="195">
        <f t="shared" si="39"/>
        <v>22.923891417365709</v>
      </c>
      <c r="Z110" s="195">
        <f t="shared" si="40"/>
        <v>119.68780292339312</v>
      </c>
      <c r="AA110" s="195" t="str">
        <f t="shared" si="41"/>
        <v>1.0001956398063+0.0155849911170282i</v>
      </c>
      <c r="AB110" s="195" t="str">
        <f t="shared" si="42"/>
        <v>7.22487762058906+28.8269360292121i</v>
      </c>
      <c r="AC110" s="192">
        <f t="shared" si="43"/>
        <v>29.460546827340718</v>
      </c>
      <c r="AD110" s="195">
        <f t="shared" si="44"/>
        <v>75.929821002739132</v>
      </c>
      <c r="AE110" s="195" t="str">
        <f t="shared" si="45"/>
        <v>5.00479304742334+37.8131991365765i</v>
      </c>
      <c r="AF110" s="192">
        <f t="shared" si="46"/>
        <v>31.628289595355721</v>
      </c>
      <c r="AG110" s="195">
        <f t="shared" si="47"/>
        <v>82.460398609763118</v>
      </c>
      <c r="AI110" s="195" t="str">
        <f t="shared" si="48"/>
        <v>0.002-0.199889571030106i</v>
      </c>
      <c r="AJ110" s="195">
        <f t="shared" si="49"/>
        <v>0.22500000000000001</v>
      </c>
      <c r="AK110" s="195" t="str">
        <f t="shared" si="50"/>
        <v>0.0375-399.779142060212i</v>
      </c>
      <c r="AL110" s="195" t="str">
        <f t="shared" si="51"/>
        <v>0.0993299468118986-0.110607050564171i</v>
      </c>
      <c r="AM110" s="195" t="str">
        <f t="shared" si="52"/>
        <v>0.898492269844209-0.00303116782919915i</v>
      </c>
      <c r="AN110" s="195" t="str">
        <f t="shared" si="53"/>
        <v>0.006+0.034457801207665i</v>
      </c>
      <c r="AO110" s="195" t="str">
        <f t="shared" si="54"/>
        <v>1.53296032825092-1.46789958203086i</v>
      </c>
      <c r="AP110" s="195">
        <f t="shared" si="61"/>
        <v>6.5366554099750189</v>
      </c>
      <c r="AQ110" s="195">
        <f t="shared" si="62"/>
        <v>-43.757981920653961</v>
      </c>
      <c r="AS110" s="195" t="str">
        <f t="shared" si="55"/>
        <v>0.921940171826109-0.00319144255904889i</v>
      </c>
      <c r="AT110" s="195" t="str">
        <f t="shared" si="56"/>
        <v>1.5347209879371-1.47466140773128i</v>
      </c>
      <c r="AU110" s="195">
        <f t="shared" si="63"/>
        <v>6.5609770140106685</v>
      </c>
      <c r="AV110" s="195">
        <f t="shared" si="64"/>
        <v>-43.856674476357867</v>
      </c>
    </row>
    <row r="111" spans="6:48" x14ac:dyDescent="0.2">
      <c r="F111" s="195">
        <v>109</v>
      </c>
      <c r="G111" s="210">
        <f t="shared" si="33"/>
        <v>169.75077734707912</v>
      </c>
      <c r="H111" s="210">
        <f t="shared" si="34"/>
        <v>168.57881372500071</v>
      </c>
      <c r="I111" s="196">
        <f t="shared" si="35"/>
        <v>1</v>
      </c>
      <c r="J111" s="195">
        <f t="shared" si="57"/>
        <v>1</v>
      </c>
      <c r="K111" s="195">
        <f t="shared" si="58"/>
        <v>1</v>
      </c>
      <c r="L111" s="195">
        <f>10^('Small Signal'!F111/30)</f>
        <v>4298.6623470822833</v>
      </c>
      <c r="M111" s="195" t="str">
        <f t="shared" si="36"/>
        <v>27009.2920997135i</v>
      </c>
      <c r="N111" s="195">
        <f>IF(D$32=1, IF(AND('Small Signal'!$B$62&gt;=1,FCCM=0),V111+0,S111+0), 0)</f>
        <v>6.2230683318537308</v>
      </c>
      <c r="O111" s="195">
        <f>IF(D$32=1, IF(AND('Small Signal'!$B$62&gt;=1,FCCM=0),W111,T111), 0)</f>
        <v>-46.081277566438423</v>
      </c>
      <c r="P111" s="195">
        <f>IF(AND('Small Signal'!$B$62&gt;=1,FCCM=0),AF111+0,AC111+0)</f>
        <v>28.636884298210916</v>
      </c>
      <c r="Q111" s="195">
        <f>IF(AND('Small Signal'!$B$62&gt;=1,FCCM=0),AG111,AD111)</f>
        <v>75.359136373790989</v>
      </c>
      <c r="R111" s="195" t="str">
        <f>IMDIV(IMSUM('Small Signal'!$B$2*'Small Signal'!$B$39*'Small Signal'!$B$63,IMPRODUCT(M111,'Small Signal'!$B$2*'Small Signal'!$B$39*'Small Signal'!$B$63*'Small Signal'!$B$14*'Small Signal'!$B$15)),IMSUM(IMPRODUCT('Small Signal'!$B$12*'Small Signal'!$B$14*('Small Signal'!$B$15+'Small Signal'!$B$39),IMPOWER(M111,2)),IMSUM(IMPRODUCT(M111,('Small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1.39647174347542-1.36709759817457i</v>
      </c>
      <c r="S111" s="195">
        <f t="shared" si="59"/>
        <v>6.2230683318537308</v>
      </c>
      <c r="T111" s="195">
        <f t="shared" si="60"/>
        <v>-46.081277566438423</v>
      </c>
      <c r="U111" s="195" t="str">
        <f>IMDIV(IMSUM('Small Signal'!$B$75,IMPRODUCT(M111,'Small Signal'!$B$76)),IMSUM(IMPRODUCT('Small Signal'!$B$79,IMPOWER(M111,2)),IMSUM(IMPRODUCT(M111,'Small Signal'!$B$78),'Small Signal'!$B$77)))</f>
        <v>2.08186632892719-1.68299990882507i</v>
      </c>
      <c r="V111" s="195">
        <f t="shared" si="37"/>
        <v>8.5531656514393735</v>
      </c>
      <c r="W111" s="195">
        <f t="shared" si="38"/>
        <v>-38.952393361631962</v>
      </c>
      <c r="X111" s="195" t="str">
        <f>IMPRODUCT(IMDIV(IMSUM(IMPRODUCT(M111,'Small Signal'!$B$58*'Small Signal'!$B$6*'Small Signal'!$B$51*'Small Signal'!$B$7*'Small Signal'!$B$8),'Small Signal'!$B$58*'Small Signal'!$B$6*'Small Signal'!$B$51),IMSUM(IMSUM(IMPRODUCT(M111,('Small Signal'!$B$5+'Small Signal'!$B$6)*('Small Signal'!$B$57*'Small Signal'!$B$58)+'Small Signal'!$B$5*'Small Signal'!$B$58*('Small Signal'!$B$8+'Small Signal'!$B$9)+'Small Signal'!$B$6*'Small Signal'!$B$58*('Small Signal'!$B$8+'Small Signal'!$B$9)+'Small Signal'!$B$7*'Small Signal'!$B$8*('Small Signal'!$B$5+'Small Signal'!$B$6)),'Small Signal'!$B$6+'Small Signal'!$B$5),IMPRODUCT(IMPOWER(M111,2),'Small Signal'!$B$57*'Small Signal'!$B$58*'Small Signal'!$B$8*'Small Signal'!$B$7*('Small Signal'!$B$5+'Small Signal'!$B$6)+('Small Signal'!$B$5+'Small Signal'!$B$6)*('Small Signal'!$B$9*'Small Signal'!$B$8*'Small Signal'!$B$58*'Small Signal'!$B$7)))),-1)</f>
        <v>-6.69418027542853+11.3751017852604i</v>
      </c>
      <c r="Y111" s="195">
        <f t="shared" si="39"/>
        <v>22.413815966357184</v>
      </c>
      <c r="Z111" s="195">
        <f t="shared" si="40"/>
        <v>121.44041394022942</v>
      </c>
      <c r="AA111" s="195" t="str">
        <f t="shared" si="41"/>
        <v>1.00022809330509+0.0168278464218128i</v>
      </c>
      <c r="AB111" s="195" t="str">
        <f t="shared" si="42"/>
        <v>6.83205964404242+26.1522026054177i</v>
      </c>
      <c r="AC111" s="192">
        <f t="shared" si="43"/>
        <v>28.636884298210916</v>
      </c>
      <c r="AD111" s="195">
        <f t="shared" si="44"/>
        <v>75.359136373790989</v>
      </c>
      <c r="AE111" s="195" t="str">
        <f t="shared" si="45"/>
        <v>5.20790675228594+34.947746188058i</v>
      </c>
      <c r="AF111" s="192">
        <f t="shared" si="46"/>
        <v>30.963771565661894</v>
      </c>
      <c r="AG111" s="195">
        <f t="shared" si="47"/>
        <v>81.524166801534236</v>
      </c>
      <c r="AI111" s="195" t="str">
        <f t="shared" si="48"/>
        <v>0.002-0.185121475288611i</v>
      </c>
      <c r="AJ111" s="195">
        <f t="shared" si="49"/>
        <v>0.22500000000000001</v>
      </c>
      <c r="AK111" s="195" t="str">
        <f t="shared" si="50"/>
        <v>0.0375-370.242950577223i</v>
      </c>
      <c r="AL111" s="195" t="str">
        <f t="shared" si="51"/>
        <v>0.0910067301536158-0.109219621789369i</v>
      </c>
      <c r="AM111" s="195" t="str">
        <f t="shared" si="52"/>
        <v>0.898490573226709-0.00327297355446828i</v>
      </c>
      <c r="AN111" s="195" t="str">
        <f t="shared" si="53"/>
        <v>0.006+0.0372066778924625i</v>
      </c>
      <c r="AO111" s="195" t="str">
        <f t="shared" si="54"/>
        <v>1.419991748841-1.47462501886615i</v>
      </c>
      <c r="AP111" s="195">
        <f t="shared" si="61"/>
        <v>6.2230683318537308</v>
      </c>
      <c r="AQ111" s="195">
        <f t="shared" si="62"/>
        <v>-46.081277566438423</v>
      </c>
      <c r="AS111" s="195" t="str">
        <f t="shared" si="55"/>
        <v>0.921938338881498-0.00344603355605148i</v>
      </c>
      <c r="AT111" s="195" t="str">
        <f t="shared" si="56"/>
        <v>1.42123517543841-1.48081873665392i</v>
      </c>
      <c r="AU111" s="195">
        <f t="shared" si="63"/>
        <v>6.2456399191338416</v>
      </c>
      <c r="AV111" s="195">
        <f t="shared" si="64"/>
        <v>-46.176203857892467</v>
      </c>
    </row>
    <row r="112" spans="6:48" x14ac:dyDescent="0.2">
      <c r="F112" s="195">
        <v>110</v>
      </c>
      <c r="G112" s="210">
        <f t="shared" si="33"/>
        <v>169.8441151064853</v>
      </c>
      <c r="H112" s="210">
        <f t="shared" si="34"/>
        <v>168.57881372500071</v>
      </c>
      <c r="I112" s="196">
        <f t="shared" si="35"/>
        <v>1</v>
      </c>
      <c r="J112" s="195">
        <f t="shared" si="57"/>
        <v>1</v>
      </c>
      <c r="K112" s="195">
        <f t="shared" si="58"/>
        <v>1</v>
      </c>
      <c r="L112" s="195">
        <f>10^('Small Signal'!F112/30)</f>
        <v>4641.5888336127782</v>
      </c>
      <c r="M112" s="195" t="str">
        <f t="shared" si="36"/>
        <v>29163.9627613246i</v>
      </c>
      <c r="N112" s="195">
        <f>IF(D$32=1, IF(AND('Small Signal'!$B$62&gt;=1,FCCM=0),V112+0,S112+0), 0)</f>
        <v>5.8838037500031177</v>
      </c>
      <c r="O112" s="195">
        <f>IF(D$32=1, IF(AND('Small Signal'!$B$62&gt;=1,FCCM=0),W112,T112), 0)</f>
        <v>-48.418776895325834</v>
      </c>
      <c r="P112" s="195">
        <f>IF(AND('Small Signal'!$B$62&gt;=1,FCCM=0),AF112+0,AC112+0)</f>
        <v>27.806591726280409</v>
      </c>
      <c r="Q112" s="195">
        <f>IF(AND('Small Signal'!$B$62&gt;=1,FCCM=0),AG112,AD112)</f>
        <v>74.857047121845454</v>
      </c>
      <c r="R112" s="195" t="str">
        <f>IMDIV(IMSUM('Small Signal'!$B$2*'Small Signal'!$B$39*'Small Signal'!$B$63,IMPRODUCT(M112,'Small Signal'!$B$2*'Small Signal'!$B$39*'Small Signal'!$B$63*'Small Signal'!$B$14*'Small Signal'!$B$15)),IMSUM(IMPRODUCT('Small Signal'!$B$12*'Small Signal'!$B$14*('Small Signal'!$B$15+'Small Signal'!$B$39),IMPOWER(M112,2)),IMSUM(IMPRODUCT(M112,('Small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1.29090038746536-1.37516416194448i</v>
      </c>
      <c r="S112" s="195">
        <f t="shared" si="59"/>
        <v>5.8838037500031177</v>
      </c>
      <c r="T112" s="195">
        <f t="shared" si="60"/>
        <v>-48.418776895325834</v>
      </c>
      <c r="U112" s="195" t="str">
        <f>IMDIV(IMSUM('Small Signal'!$B$75,IMPRODUCT(M112,'Small Signal'!$B$76)),IMSUM(IMPRODUCT('Small Signal'!$B$79,IMPOWER(M112,2)),IMSUM(IMPRODUCT(M112,'Small Signal'!$B$78),'Small Signal'!$B$77)))</f>
        <v>1.95835863076213-1.74590036097281i</v>
      </c>
      <c r="V112" s="195">
        <f t="shared" si="37"/>
        <v>8.3779900719720253</v>
      </c>
      <c r="W112" s="195">
        <f t="shared" si="38"/>
        <v>-41.717389257041027</v>
      </c>
      <c r="X112" s="195" t="str">
        <f>IMPRODUCT(IMDIV(IMSUM(IMPRODUCT(M112,'Small Signal'!$B$58*'Small Signal'!$B$6*'Small Signal'!$B$51*'Small Signal'!$B$7*'Small Signal'!$B$8),'Small Signal'!$B$58*'Small Signal'!$B$6*'Small Signal'!$B$51),IMSUM(IMSUM(IMPRODUCT(M112,('Small Signal'!$B$5+'Small Signal'!$B$6)*('Small Signal'!$B$57*'Small Signal'!$B$58)+'Small Signal'!$B$5*'Small Signal'!$B$58*('Small Signal'!$B$8+'Small Signal'!$B$9)+'Small Signal'!$B$6*'Small Signal'!$B$58*('Small Signal'!$B$8+'Small Signal'!$B$9)+'Small Signal'!$B$7*'Small Signal'!$B$8*('Small Signal'!$B$5+'Small Signal'!$B$6)),'Small Signal'!$B$6+'Small Signal'!$B$5),IMPRODUCT(IMPOWER(M112,2),'Small Signal'!$B$57*'Small Signal'!$B$58*'Small Signal'!$B$8*'Small Signal'!$B$7*('Small Signal'!$B$5+'Small Signal'!$B$6)+('Small Signal'!$B$5+'Small Signal'!$B$6)*('Small Signal'!$B$9*'Small Signal'!$B$8*'Small Signal'!$B$58*'Small Signal'!$B$7)))),-1)</f>
        <v>-6.6527570139597+10.5500331737945i</v>
      </c>
      <c r="Y112" s="195">
        <f t="shared" si="39"/>
        <v>21.922787976277295</v>
      </c>
      <c r="Z112" s="195">
        <f t="shared" si="40"/>
        <v>123.27582401717126</v>
      </c>
      <c r="AA112" s="195" t="str">
        <f t="shared" si="41"/>
        <v>1.00026592916449+0.0181697368425639i</v>
      </c>
      <c r="AB112" s="195" t="str">
        <f t="shared" si="42"/>
        <v>6.41726063188088+23.7127310121622i</v>
      </c>
      <c r="AC112" s="192">
        <f t="shared" si="43"/>
        <v>27.806591726280409</v>
      </c>
      <c r="AD112" s="195">
        <f t="shared" si="44"/>
        <v>74.857047121845454</v>
      </c>
      <c r="AE112" s="195" t="str">
        <f t="shared" si="45"/>
        <v>5.39082260975166+32.2757993928639i</v>
      </c>
      <c r="AF112" s="192">
        <f t="shared" si="46"/>
        <v>30.297035745655098</v>
      </c>
      <c r="AG112" s="195">
        <f t="shared" si="47"/>
        <v>80.517776745701298</v>
      </c>
      <c r="AI112" s="195" t="str">
        <f t="shared" si="48"/>
        <v>0.002-0.171444465243615i</v>
      </c>
      <c r="AJ112" s="195">
        <f t="shared" si="49"/>
        <v>0.22500000000000001</v>
      </c>
      <c r="AK112" s="195" t="str">
        <f t="shared" si="50"/>
        <v>0.0375-342.88893048723i</v>
      </c>
      <c r="AL112" s="195" t="str">
        <f t="shared" si="51"/>
        <v>0.0829367103347841-0.107242324997865i</v>
      </c>
      <c r="AM112" s="195" t="str">
        <f t="shared" si="52"/>
        <v>0.898488595124026-0.00353406777050526i</v>
      </c>
      <c r="AN112" s="195" t="str">
        <f t="shared" si="53"/>
        <v>0.006+0.0401748466610084i</v>
      </c>
      <c r="AO112" s="195" t="str">
        <f t="shared" si="54"/>
        <v>1.30662103037294-1.47265447332853i</v>
      </c>
      <c r="AP112" s="195">
        <f t="shared" si="61"/>
        <v>5.8838037500031177</v>
      </c>
      <c r="AQ112" s="195">
        <f t="shared" si="62"/>
        <v>-48.418776895325834</v>
      </c>
      <c r="AS112" s="195" t="str">
        <f t="shared" si="55"/>
        <v>0.921936201834181-0.00372093281725318i</v>
      </c>
      <c r="AT112" s="195" t="str">
        <f t="shared" si="56"/>
        <v>1.30743979128608-1.47824255244425i</v>
      </c>
      <c r="AU112" s="195">
        <f t="shared" si="63"/>
        <v>5.9046284297699456</v>
      </c>
      <c r="AV112" s="195">
        <f t="shared" si="64"/>
        <v>-48.508670404141988</v>
      </c>
    </row>
    <row r="113" spans="6:48" x14ac:dyDescent="0.2">
      <c r="F113" s="195">
        <v>111</v>
      </c>
      <c r="G113" s="210">
        <f t="shared" si="33"/>
        <v>169.94485861452921</v>
      </c>
      <c r="H113" s="210">
        <f t="shared" si="34"/>
        <v>168.57881372500071</v>
      </c>
      <c r="I113" s="196">
        <f t="shared" si="35"/>
        <v>1</v>
      </c>
      <c r="J113" s="195">
        <f t="shared" si="57"/>
        <v>1</v>
      </c>
      <c r="K113" s="195">
        <f t="shared" si="58"/>
        <v>1</v>
      </c>
      <c r="L113" s="195">
        <f>10^('Small Signal'!F113/30)</f>
        <v>5011.8723362727324</v>
      </c>
      <c r="M113" s="195" t="str">
        <f t="shared" si="36"/>
        <v>31490.5226247287i</v>
      </c>
      <c r="N113" s="195">
        <f>IF(D$32=1, IF(AND('Small Signal'!$B$62&gt;=1,FCCM=0),V113+0,S113+0), 0)</f>
        <v>5.518898395777124</v>
      </c>
      <c r="O113" s="195">
        <f>IF(D$32=1, IF(AND('Small Signal'!$B$62&gt;=1,FCCM=0),W113,T113), 0)</f>
        <v>-50.758391704932372</v>
      </c>
      <c r="P113" s="195">
        <f>IF(AND('Small Signal'!$B$62&gt;=1,FCCM=0),AF113+0,AC113+0)</f>
        <v>26.971164100504879</v>
      </c>
      <c r="Q113" s="195">
        <f>IF(AND('Small Signal'!$B$62&gt;=1,FCCM=0),AG113,AD113)</f>
        <v>74.428818833020628</v>
      </c>
      <c r="R113" s="195" t="str">
        <f>IMDIV(IMSUM('Small Signal'!$B$2*'Small Signal'!$B$39*'Small Signal'!$B$63,IMPRODUCT(M113,'Small Signal'!$B$2*'Small Signal'!$B$39*'Small Signal'!$B$63*'Small Signal'!$B$14*'Small Signal'!$B$15)),IMSUM(IMPRODUCT('Small Signal'!$B$12*'Small Signal'!$B$14*('Small Signal'!$B$15+'Small Signal'!$B$39),IMPOWER(M113,2)),IMSUM(IMPRODUCT(M113,('Small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1.18461149448845-1.37506142905944i</v>
      </c>
      <c r="S113" s="195">
        <f t="shared" si="59"/>
        <v>5.518898395777124</v>
      </c>
      <c r="T113" s="195">
        <f t="shared" si="60"/>
        <v>-50.758391704932372</v>
      </c>
      <c r="U113" s="195" t="str">
        <f>IMDIV(IMSUM('Small Signal'!$B$75,IMPRODUCT(M113,'Small Signal'!$B$76)),IMSUM(IMPRODUCT('Small Signal'!$B$79,IMPOWER(M113,2)),IMSUM(IMPRODUCT(M113,'Small Signal'!$B$78),'Small Signal'!$B$77)))</f>
        <v>1.82490626615591-1.80146931842432i</v>
      </c>
      <c r="V113" s="195">
        <f t="shared" si="37"/>
        <v>8.1793370824926672</v>
      </c>
      <c r="W113" s="195">
        <f t="shared" si="38"/>
        <v>-44.629707551687389</v>
      </c>
      <c r="X113" s="195" t="str">
        <f>IMPRODUCT(IMDIV(IMSUM(IMPRODUCT(M113,'Small Signal'!$B$58*'Small Signal'!$B$6*'Small Signal'!$B$51*'Small Signal'!$B$7*'Small Signal'!$B$8),'Small Signal'!$B$58*'Small Signal'!$B$6*'Small Signal'!$B$51),IMSUM(IMSUM(IMPRODUCT(M113,('Small Signal'!$B$5+'Small Signal'!$B$6)*('Small Signal'!$B$57*'Small Signal'!$B$58)+'Small Signal'!$B$5*'Small Signal'!$B$58*('Small Signal'!$B$8+'Small Signal'!$B$9)+'Small Signal'!$B$6*'Small Signal'!$B$58*('Small Signal'!$B$8+'Small Signal'!$B$9)+'Small Signal'!$B$7*'Small Signal'!$B$8*('Small Signal'!$B$5+'Small Signal'!$B$6)),'Small Signal'!$B$6+'Small Signal'!$B$5),IMPRODUCT(IMPOWER(M113,2),'Small Signal'!$B$57*'Small Signal'!$B$58*'Small Signal'!$B$8*'Small Signal'!$B$7*('Small Signal'!$B$5+'Small Signal'!$B$6)+('Small Signal'!$B$5+'Small Signal'!$B$6)*('Small Signal'!$B$9*'Small Signal'!$B$8*'Small Signal'!$B$58*'Small Signal'!$B$7)))),-1)</f>
        <v>-6.61715257533892+9.78686462433469i</v>
      </c>
      <c r="Y113" s="195">
        <f t="shared" si="39"/>
        <v>21.452265704727768</v>
      </c>
      <c r="Z113" s="195">
        <f t="shared" si="40"/>
        <v>125.18721053795302</v>
      </c>
      <c r="AA113" s="195" t="str">
        <f t="shared" si="41"/>
        <v>1.00031003962609+0.0196185334531499i</v>
      </c>
      <c r="AB113" s="195" t="str">
        <f t="shared" si="42"/>
        <v>5.98960086091582+21.4940735983346i</v>
      </c>
      <c r="AC113" s="192">
        <f t="shared" si="43"/>
        <v>26.971164100504879</v>
      </c>
      <c r="AD113" s="195">
        <f t="shared" si="44"/>
        <v>74.428818833020628</v>
      </c>
      <c r="AE113" s="195" t="str">
        <f t="shared" si="45"/>
        <v>5.55505314546559+29.7807079187735i</v>
      </c>
      <c r="AF113" s="192">
        <f t="shared" si="46"/>
        <v>29.627240049453299</v>
      </c>
      <c r="AG113" s="195">
        <f t="shared" si="47"/>
        <v>79.433936258603921</v>
      </c>
      <c r="AI113" s="195" t="str">
        <f t="shared" si="48"/>
        <v>0.002-0.158777930096137i</v>
      </c>
      <c r="AJ113" s="195">
        <f t="shared" si="49"/>
        <v>0.22500000000000001</v>
      </c>
      <c r="AK113" s="195" t="str">
        <f t="shared" si="50"/>
        <v>0.0375-317.555860192274i</v>
      </c>
      <c r="AL113" s="195" t="str">
        <f t="shared" si="51"/>
        <v>0.0751984890820275-0.104729063236227i</v>
      </c>
      <c r="AM113" s="195" t="str">
        <f t="shared" si="52"/>
        <v>0.898486288836616-0.00381598880547012i</v>
      </c>
      <c r="AN113" s="195" t="str">
        <f t="shared" si="53"/>
        <v>0.006+0.0433798015748814i</v>
      </c>
      <c r="AO113" s="195" t="str">
        <f t="shared" si="54"/>
        <v>1.19417657519711-1.46203611601105i</v>
      </c>
      <c r="AP113" s="195">
        <f t="shared" si="61"/>
        <v>5.518898395777124</v>
      </c>
      <c r="AQ113" s="195">
        <f t="shared" si="62"/>
        <v>-50.758391704932372</v>
      </c>
      <c r="AS113" s="195" t="str">
        <f t="shared" si="55"/>
        <v>0.921933710232444-0.00401775997843301i</v>
      </c>
      <c r="AT113" s="195" t="str">
        <f t="shared" si="56"/>
        <v>1.19466737483386-1.46699935059129i</v>
      </c>
      <c r="AU113" s="195">
        <f t="shared" si="63"/>
        <v>5.5380019115971173</v>
      </c>
      <c r="AV113" s="195">
        <f t="shared" si="64"/>
        <v>-50.841964793089367</v>
      </c>
    </row>
    <row r="114" spans="6:48" x14ac:dyDescent="0.2">
      <c r="F114" s="195">
        <v>112</v>
      </c>
      <c r="G114" s="210">
        <f t="shared" si="33"/>
        <v>170.0535882637119</v>
      </c>
      <c r="H114" s="210">
        <f t="shared" si="34"/>
        <v>168.57881372500071</v>
      </c>
      <c r="I114" s="196">
        <f t="shared" si="35"/>
        <v>1</v>
      </c>
      <c r="J114" s="195">
        <f t="shared" si="57"/>
        <v>1</v>
      </c>
      <c r="K114" s="195">
        <f t="shared" si="58"/>
        <v>1</v>
      </c>
      <c r="L114" s="195">
        <f>10^('Small Signal'!F114/30)</f>
        <v>5411.6952654646393</v>
      </c>
      <c r="M114" s="195" t="str">
        <f t="shared" si="36"/>
        <v>34002.6841789008i</v>
      </c>
      <c r="N114" s="195">
        <f>IF(D$32=1, IF(AND('Small Signal'!$B$62&gt;=1,FCCM=0),V114+0,S114+0), 0)</f>
        <v>5.1286811185110137</v>
      </c>
      <c r="O114" s="195">
        <f>IF(D$32=1, IF(AND('Small Signal'!$B$62&gt;=1,FCCM=0),W114,T114), 0)</f>
        <v>-53.088356793399775</v>
      </c>
      <c r="P114" s="195">
        <f>IF(AND('Small Signal'!$B$62&gt;=1,FCCM=0),AF114+0,AC114+0)</f>
        <v>26.132290439417819</v>
      </c>
      <c r="Q114" s="195">
        <f>IF(AND('Small Signal'!$B$62&gt;=1,FCCM=0),AG114,AD114)</f>
        <v>74.077945192367764</v>
      </c>
      <c r="R114" s="195" t="str">
        <f>IMDIV(IMSUM('Small Signal'!$B$2*'Small Signal'!$B$39*'Small Signal'!$B$63,IMPRODUCT(M114,'Small Signal'!$B$2*'Small Signal'!$B$39*'Small Signal'!$B$63*'Small Signal'!$B$14*'Small Signal'!$B$15)),IMSUM(IMPRODUCT('Small Signal'!$B$12*'Small Signal'!$B$14*('Small Signal'!$B$15+'Small Signal'!$B$39),IMPOWER(M114,2)),IMSUM(IMPRODUCT(M114,('Small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1.07885441232955-1.36676389766024i</v>
      </c>
      <c r="S114" s="195">
        <f t="shared" si="59"/>
        <v>5.1286811185110137</v>
      </c>
      <c r="T114" s="195">
        <f t="shared" si="60"/>
        <v>-53.088356793399775</v>
      </c>
      <c r="U114" s="195" t="str">
        <f>IMDIV(IMSUM('Small Signal'!$B$75,IMPRODUCT(M114,'Small Signal'!$B$76)),IMSUM(IMPRODUCT('Small Signal'!$B$79,IMPOWER(M114,2)),IMSUM(IMPRODUCT(M114,'Small Signal'!$B$78),'Small Signal'!$B$77)))</f>
        <v>1.68215843120275-1.84787330306568i</v>
      </c>
      <c r="V114" s="195">
        <f t="shared" si="37"/>
        <v>7.9548325455162994</v>
      </c>
      <c r="W114" s="195">
        <f t="shared" si="38"/>
        <v>-47.687737089339507</v>
      </c>
      <c r="X114" s="195" t="str">
        <f>IMPRODUCT(IMDIV(IMSUM(IMPRODUCT(M114,'Small Signal'!$B$58*'Small Signal'!$B$6*'Small Signal'!$B$51*'Small Signal'!$B$7*'Small Signal'!$B$8),'Small Signal'!$B$58*'Small Signal'!$B$6*'Small Signal'!$B$51),IMSUM(IMSUM(IMPRODUCT(M114,('Small Signal'!$B$5+'Small Signal'!$B$6)*('Small Signal'!$B$57*'Small Signal'!$B$58)+'Small Signal'!$B$5*'Small Signal'!$B$58*('Small Signal'!$B$8+'Small Signal'!$B$9)+'Small Signal'!$B$6*'Small Signal'!$B$58*('Small Signal'!$B$8+'Small Signal'!$B$9)+'Small Signal'!$B$7*'Small Signal'!$B$8*('Small Signal'!$B$5+'Small Signal'!$B$6)),'Small Signal'!$B$6+'Small Signal'!$B$5),IMPRODUCT(IMPOWER(M114,2),'Small Signal'!$B$57*'Small Signal'!$B$58*'Small Signal'!$B$8*'Small Signal'!$B$7*('Small Signal'!$B$5+'Small Signal'!$B$6)+('Small Signal'!$B$5+'Small Signal'!$B$6)*('Small Signal'!$B$9*'Small Signal'!$B$8*'Small Signal'!$B$58*'Small Signal'!$B$7)))),-1)</f>
        <v>-6.58652898541697+9.08115522756163i</v>
      </c>
      <c r="Y114" s="195">
        <f t="shared" si="39"/>
        <v>21.003609320906786</v>
      </c>
      <c r="Z114" s="195">
        <f t="shared" si="40"/>
        <v>127.1663019857675</v>
      </c>
      <c r="AA114" s="195" t="str">
        <f t="shared" si="41"/>
        <v>1.00036146469083+0.0211827276203251i</v>
      </c>
      <c r="AB114" s="195" t="str">
        <f t="shared" si="42"/>
        <v>5.55759476029992+19.4816231193736i</v>
      </c>
      <c r="AC114" s="192">
        <f t="shared" si="43"/>
        <v>26.132290439417819</v>
      </c>
      <c r="AD114" s="195">
        <f t="shared" si="44"/>
        <v>74.077945192367764</v>
      </c>
      <c r="AE114" s="195" t="str">
        <f t="shared" si="45"/>
        <v>5.70123904082603+27.447012903124i</v>
      </c>
      <c r="AF114" s="192">
        <f t="shared" si="46"/>
        <v>28.953355921903167</v>
      </c>
      <c r="AG114" s="195">
        <f t="shared" si="47"/>
        <v>78.26550383342375</v>
      </c>
      <c r="AI114" s="195" t="str">
        <f t="shared" si="48"/>
        <v>0.002-0.147047214675557i</v>
      </c>
      <c r="AJ114" s="195">
        <f t="shared" si="49"/>
        <v>0.22500000000000001</v>
      </c>
      <c r="AK114" s="195" t="str">
        <f t="shared" si="50"/>
        <v>0.0375-294.094429351115i</v>
      </c>
      <c r="AL114" s="195" t="str">
        <f t="shared" si="51"/>
        <v>0.0678569380782644-0.101744960745996i</v>
      </c>
      <c r="AM114" s="195" t="str">
        <f t="shared" si="52"/>
        <v>0.898483599917859-0.00412039760063003i</v>
      </c>
      <c r="AN114" s="195" t="str">
        <f t="shared" si="53"/>
        <v>0.006+0.0468404322872613i</v>
      </c>
      <c r="AO114" s="195" t="str">
        <f t="shared" si="54"/>
        <v>1.08394410413266-1.44306715937539i</v>
      </c>
      <c r="AP114" s="195">
        <f t="shared" si="61"/>
        <v>5.1286811185110137</v>
      </c>
      <c r="AQ114" s="195">
        <f t="shared" si="62"/>
        <v>-53.088356793399775</v>
      </c>
      <c r="AS114" s="195" t="str">
        <f t="shared" si="55"/>
        <v>0.921930805255104-0.00433826376316247i</v>
      </c>
      <c r="AT114" s="195" t="str">
        <f t="shared" si="56"/>
        <v>1.08420332154343-1.44740472629113i</v>
      </c>
      <c r="AU114" s="195">
        <f t="shared" si="63"/>
        <v>5.1461113698464072</v>
      </c>
      <c r="AV114" s="195">
        <f t="shared" si="64"/>
        <v>-53.164324925266513</v>
      </c>
    </row>
    <row r="115" spans="6:48" x14ac:dyDescent="0.2">
      <c r="F115" s="195">
        <v>113</v>
      </c>
      <c r="G115" s="210">
        <f t="shared" si="33"/>
        <v>170.17092806747576</v>
      </c>
      <c r="H115" s="210">
        <f t="shared" si="34"/>
        <v>168.57881372500071</v>
      </c>
      <c r="I115" s="196">
        <f t="shared" si="35"/>
        <v>1</v>
      </c>
      <c r="J115" s="195">
        <f t="shared" si="57"/>
        <v>1</v>
      </c>
      <c r="K115" s="195">
        <f t="shared" si="58"/>
        <v>1</v>
      </c>
      <c r="L115" s="195">
        <f>10^('Small Signal'!F115/30)</f>
        <v>5843.4141337351803</v>
      </c>
      <c r="M115" s="195" t="str">
        <f t="shared" si="36"/>
        <v>36715.2538288504i</v>
      </c>
      <c r="N115" s="195">
        <f>IF(D$32=1, IF(AND('Small Signal'!$B$62&gt;=1,FCCM=0),V115+0,S115+0), 0)</f>
        <v>4.7137560488299197</v>
      </c>
      <c r="O115" s="195">
        <f>IF(D$32=1, IF(AND('Small Signal'!$B$62&gt;=1,FCCM=0),W115,T115), 0)</f>
        <v>-55.397591443512098</v>
      </c>
      <c r="P115" s="195">
        <f>IF(AND('Small Signal'!$B$62&gt;=1,FCCM=0),AF115+0,AC115+0)</f>
        <v>25.291790840208421</v>
      </c>
      <c r="Q115" s="195">
        <f>IF(AND('Small Signal'!$B$62&gt;=1,FCCM=0),AG115,AD115)</f>
        <v>73.805847383622464</v>
      </c>
      <c r="R115" s="195" t="str">
        <f>IMDIV(IMSUM('Small Signal'!$B$2*'Small Signal'!$B$39*'Small Signal'!$B$63,IMPRODUCT(M115,'Small Signal'!$B$2*'Small Signal'!$B$39*'Small Signal'!$B$63*'Small Signal'!$B$14*'Small Signal'!$B$15)),IMSUM(IMPRODUCT('Small Signal'!$B$12*'Small Signal'!$B$14*('Small Signal'!$B$15+'Small Signal'!$B$39),IMPOWER(M115,2)),IMSUM(IMPRODUCT(M115,('Small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0.974855061849501-1.35048222616754i</v>
      </c>
      <c r="S115" s="195">
        <f t="shared" si="59"/>
        <v>4.7137560488299197</v>
      </c>
      <c r="T115" s="195">
        <f t="shared" si="60"/>
        <v>-55.397591443512098</v>
      </c>
      <c r="U115" s="195" t="str">
        <f>IMDIV(IMSUM('Small Signal'!$B$75,IMPRODUCT(M115,'Small Signal'!$B$76)),IMSUM(IMPRODUCT('Small Signal'!$B$79,IMPOWER(M115,2)),IMSUM(IMPRODUCT(M115,'Small Signal'!$B$78),'Small Signal'!$B$77)))</f>
        <v>1.53115821708862-1.8832876444476i</v>
      </c>
      <c r="V115" s="195">
        <f t="shared" si="37"/>
        <v>7.7020508178699165</v>
      </c>
      <c r="W115" s="195">
        <f t="shared" si="38"/>
        <v>-50.888058325464115</v>
      </c>
      <c r="X115" s="195" t="str">
        <f>IMPRODUCT(IMDIV(IMSUM(IMPRODUCT(M115,'Small Signal'!$B$58*'Small Signal'!$B$6*'Small Signal'!$B$51*'Small Signal'!$B$7*'Small Signal'!$B$8),'Small Signal'!$B$58*'Small Signal'!$B$6*'Small Signal'!$B$51),IMSUM(IMSUM(IMPRODUCT(M115,('Small Signal'!$B$5+'Small Signal'!$B$6)*('Small Signal'!$B$57*'Small Signal'!$B$58)+'Small Signal'!$B$5*'Small Signal'!$B$58*('Small Signal'!$B$8+'Small Signal'!$B$9)+'Small Signal'!$B$6*'Small Signal'!$B$58*('Small Signal'!$B$8+'Small Signal'!$B$9)+'Small Signal'!$B$7*'Small Signal'!$B$8*('Small Signal'!$B$5+'Small Signal'!$B$6)),'Small Signal'!$B$6+'Small Signal'!$B$5),IMPRODUCT(IMPOWER(M115,2),'Small Signal'!$B$57*'Small Signal'!$B$58*'Small Signal'!$B$8*'Small Signal'!$B$7*('Small Signal'!$B$5+'Small Signal'!$B$6)+('Small Signal'!$B$5+'Small Signal'!$B$6)*('Small Signal'!$B$9*'Small Signal'!$B$8*'Small Signal'!$B$58*'Small Signal'!$B$7)))),-1)</f>
        <v>-6.56016517379312+8.42879085827149i</v>
      </c>
      <c r="Y115" s="195">
        <f t="shared" si="39"/>
        <v>20.578034791378517</v>
      </c>
      <c r="Z115" s="195">
        <f t="shared" si="40"/>
        <v>129.20343882713462</v>
      </c>
      <c r="AA115" s="195" t="str">
        <f t="shared" si="41"/>
        <v>1.00042141653514+0.0228714785170328i</v>
      </c>
      <c r="AB115" s="195" t="str">
        <f t="shared" si="42"/>
        <v>5.12893638954319+17.6606421059357i</v>
      </c>
      <c r="AC115" s="192">
        <f t="shared" si="43"/>
        <v>25.291790840208421</v>
      </c>
      <c r="AD115" s="195">
        <f t="shared" si="44"/>
        <v>73.805847383622464</v>
      </c>
      <c r="AE115" s="195" t="str">
        <f t="shared" si="45"/>
        <v>5.82918686970365+25.2604904001039i</v>
      </c>
      <c r="AF115" s="192">
        <f t="shared" si="46"/>
        <v>28.274156695222629</v>
      </c>
      <c r="AG115" s="195">
        <f t="shared" si="47"/>
        <v>77.005721458254186</v>
      </c>
      <c r="AI115" s="195" t="str">
        <f t="shared" si="48"/>
        <v>0.002-0.136183179430209i</v>
      </c>
      <c r="AJ115" s="195">
        <f t="shared" si="49"/>
        <v>0.22500000000000001</v>
      </c>
      <c r="AK115" s="195" t="str">
        <f t="shared" si="50"/>
        <v>0.0375-272.366358860418i</v>
      </c>
      <c r="AL115" s="195" t="str">
        <f t="shared" si="51"/>
        <v>0.0609616841938555-0.0983625258341414i</v>
      </c>
      <c r="AM115" s="195" t="str">
        <f t="shared" si="52"/>
        <v>0.89848046488908-0.00444908746406773i</v>
      </c>
      <c r="AN115" s="195" t="str">
        <f t="shared" si="53"/>
        <v>0.006+0.0505771353764776i</v>
      </c>
      <c r="AO115" s="195" t="str">
        <f t="shared" si="54"/>
        <v>0.977109221326378-1.41627307251425i</v>
      </c>
      <c r="AP115" s="195">
        <f t="shared" si="61"/>
        <v>4.7137560488299197</v>
      </c>
      <c r="AQ115" s="195">
        <f t="shared" si="62"/>
        <v>-55.397591443512098</v>
      </c>
      <c r="AS115" s="195" t="str">
        <f t="shared" si="55"/>
        <v>0.921927418323302-0.00468433225001873i</v>
      </c>
      <c r="AT115" s="195" t="str">
        <f t="shared" si="56"/>
        <v>0.977228731704143-1.42000135749919i</v>
      </c>
      <c r="AU115" s="195">
        <f t="shared" si="63"/>
        <v>4.7295817382976235</v>
      </c>
      <c r="AV115" s="195">
        <f t="shared" si="64"/>
        <v>-55.464695061921624</v>
      </c>
    </row>
    <row r="116" spans="6:48" x14ac:dyDescent="0.2">
      <c r="F116" s="195">
        <v>114</v>
      </c>
      <c r="G116" s="210">
        <f t="shared" si="33"/>
        <v>170.29754845242869</v>
      </c>
      <c r="H116" s="210">
        <f t="shared" si="34"/>
        <v>168.57881372500071</v>
      </c>
      <c r="I116" s="196">
        <f t="shared" si="35"/>
        <v>1</v>
      </c>
      <c r="J116" s="195">
        <f t="shared" si="57"/>
        <v>1</v>
      </c>
      <c r="K116" s="195">
        <f t="shared" si="58"/>
        <v>1</v>
      </c>
      <c r="L116" s="195">
        <f>10^('Small Signal'!F116/30)</f>
        <v>6309.5734448019384</v>
      </c>
      <c r="M116" s="195" t="str">
        <f t="shared" si="36"/>
        <v>39644.21916295i</v>
      </c>
      <c r="N116" s="195">
        <f>IF(D$32=1, IF(AND('Small Signal'!$B$62&gt;=1,FCCM=0),V116+0,S116+0), 0)</f>
        <v>4.2749736935323259</v>
      </c>
      <c r="O116" s="195">
        <f>IF(D$32=1, IF(AND('Small Signal'!$B$62&gt;=1,FCCM=0),W116,T116), 0)</f>
        <v>-57.676018862637207</v>
      </c>
      <c r="P116" s="195">
        <f>IF(AND('Small Signal'!$B$62&gt;=1,FCCM=0),AF116+0,AC116+0)</f>
        <v>24.451542383559001</v>
      </c>
      <c r="Q116" s="195">
        <f>IF(AND('Small Signal'!$B$62&gt;=1,FCCM=0),AG116,AD116)</f>
        <v>73.611691171408097</v>
      </c>
      <c r="R116" s="195" t="str">
        <f>IMDIV(IMSUM('Small Signal'!$B$2*'Small Signal'!$B$39*'Small Signal'!$B$63,IMPRODUCT(M116,'Small Signal'!$B$2*'Small Signal'!$B$39*'Small Signal'!$B$63*'Small Signal'!$B$14*'Small Signal'!$B$15)),IMSUM(IMPRODUCT('Small Signal'!$B$12*'Small Signal'!$B$14*('Small Signal'!$B$15+'Small Signal'!$B$39),IMPOWER(M116,2)),IMSUM(IMPRODUCT(M116,('Small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0.873760443615814-1.32664818604612i</v>
      </c>
      <c r="S116" s="195">
        <f t="shared" si="59"/>
        <v>4.2749736935323259</v>
      </c>
      <c r="T116" s="195">
        <f t="shared" si="60"/>
        <v>-57.676018862637207</v>
      </c>
      <c r="U116" s="195" t="str">
        <f>IMDIV(IMSUM('Small Signal'!$B$75,IMPRODUCT(M116,'Small Signal'!$B$76)),IMSUM(IMPRODUCT('Small Signal'!$B$79,IMPOWER(M116,2)),IMSUM(IMPRODUCT(M116,'Small Signal'!$B$78),'Small Signal'!$B$77)))</f>
        <v>1.37336556456966-1.90599223138431i</v>
      </c>
      <c r="V116" s="195">
        <f t="shared" si="37"/>
        <v>7.4185562223280224</v>
      </c>
      <c r="W116" s="195">
        <f t="shared" si="38"/>
        <v>-54.225307649660799</v>
      </c>
      <c r="X116" s="195" t="str">
        <f>IMPRODUCT(IMDIV(IMSUM(IMPRODUCT(M116,'Small Signal'!$B$58*'Small Signal'!$B$6*'Small Signal'!$B$51*'Small Signal'!$B$7*'Small Signal'!$B$8),'Small Signal'!$B$58*'Small Signal'!$B$6*'Small Signal'!$B$51),IMSUM(IMSUM(IMPRODUCT(M116,('Small Signal'!$B$5+'Small Signal'!$B$6)*('Small Signal'!$B$57*'Small Signal'!$B$58)+'Small Signal'!$B$5*'Small Signal'!$B$58*('Small Signal'!$B$8+'Small Signal'!$B$9)+'Small Signal'!$B$6*'Small Signal'!$B$58*('Small Signal'!$B$8+'Small Signal'!$B$9)+'Small Signal'!$B$7*'Small Signal'!$B$8*('Small Signal'!$B$5+'Small Signal'!$B$6)),'Small Signal'!$B$6+'Small Signal'!$B$5),IMPRODUCT(IMPOWER(M116,2),'Small Signal'!$B$57*'Small Signal'!$B$58*'Small Signal'!$B$8*'Small Signal'!$B$7*('Small Signal'!$B$5+'Small Signal'!$B$6)+('Small Signal'!$B$5+'Small Signal'!$B$6)*('Small Signal'!$B$9*'Small Signal'!$B$8*'Small Signal'!$B$58*'Small Signal'!$B$7)))),-1)</f>
        <v>-6.53744013505841+7.82596232696019i</v>
      </c>
      <c r="Y116" s="195">
        <f t="shared" si="39"/>
        <v>20.176568690026688</v>
      </c>
      <c r="Z116" s="195">
        <f t="shared" si="40"/>
        <v>131.28771003404532</v>
      </c>
      <c r="AA116" s="195" t="str">
        <f t="shared" si="41"/>
        <v>1.00049130794257+0.0246946639173321i</v>
      </c>
      <c r="AB116" s="195" t="str">
        <f t="shared" si="42"/>
        <v>4.71032160601561+16.0163651632957i</v>
      </c>
      <c r="AC116" s="192">
        <f t="shared" si="43"/>
        <v>24.451542383559001</v>
      </c>
      <c r="AD116" s="195">
        <f t="shared" si="44"/>
        <v>73.611691171408097</v>
      </c>
      <c r="AE116" s="195" t="str">
        <f t="shared" si="45"/>
        <v>5.93792823636755+23.2082172800279i</v>
      </c>
      <c r="AF116" s="192">
        <f t="shared" si="46"/>
        <v>27.588213477359872</v>
      </c>
      <c r="AG116" s="195">
        <f t="shared" si="47"/>
        <v>75.648484261714003</v>
      </c>
      <c r="AI116" s="195" t="str">
        <f t="shared" si="48"/>
        <v>0.002-0.12612179292644i</v>
      </c>
      <c r="AJ116" s="195">
        <f t="shared" si="49"/>
        <v>0.22500000000000001</v>
      </c>
      <c r="AK116" s="195" t="str">
        <f t="shared" si="50"/>
        <v>0.0375-252.243585852881i</v>
      </c>
      <c r="AL116" s="195" t="str">
        <f t="shared" si="51"/>
        <v>0.0545467275222571-0.0946577960645949i</v>
      </c>
      <c r="AM116" s="195" t="str">
        <f t="shared" si="52"/>
        <v>0.898476809741505-0.00480399459530444i</v>
      </c>
      <c r="AN116" s="195" t="str">
        <f t="shared" si="53"/>
        <v>0.006+0.0546119345612066i</v>
      </c>
      <c r="AO116" s="195" t="str">
        <f t="shared" si="54"/>
        <v>0.874709438006325-1.38237215773823i</v>
      </c>
      <c r="AP116" s="195">
        <f t="shared" si="61"/>
        <v>4.2749736935323259</v>
      </c>
      <c r="AQ116" s="195">
        <f t="shared" si="62"/>
        <v>-57.676018862637207</v>
      </c>
      <c r="AS116" s="195" t="str">
        <f t="shared" si="55"/>
        <v>0.921923469482162-0.00505800395089725i</v>
      </c>
      <c r="AT116" s="195" t="str">
        <f t="shared" si="56"/>
        <v>0.874773083016694-1.38552255112327i</v>
      </c>
      <c r="AU116" s="195">
        <f t="shared" si="63"/>
        <v>4.2892822592828992</v>
      </c>
      <c r="AV116" s="195">
        <f t="shared" si="64"/>
        <v>-57.733041398476871</v>
      </c>
    </row>
    <row r="117" spans="6:48" x14ac:dyDescent="0.2">
      <c r="F117" s="195">
        <v>115</v>
      </c>
      <c r="G117" s="210">
        <f t="shared" si="33"/>
        <v>170.43416909818433</v>
      </c>
      <c r="H117" s="210">
        <f t="shared" si="34"/>
        <v>168.57881372500071</v>
      </c>
      <c r="I117" s="196">
        <f t="shared" si="35"/>
        <v>1</v>
      </c>
      <c r="J117" s="195">
        <f t="shared" si="57"/>
        <v>1</v>
      </c>
      <c r="K117" s="195">
        <f t="shared" si="58"/>
        <v>1</v>
      </c>
      <c r="L117" s="195">
        <f>10^('Small Signal'!F117/30)</f>
        <v>6812.9206905796218</v>
      </c>
      <c r="M117" s="195" t="str">
        <f t="shared" si="36"/>
        <v>42806.8431820297i</v>
      </c>
      <c r="N117" s="195">
        <f>IF(D$32=1, IF(AND('Small Signal'!$B$62&gt;=1,FCCM=0),V117+0,S117+0), 0)</f>
        <v>3.8133925438312288</v>
      </c>
      <c r="O117" s="195">
        <f>IF(D$32=1, IF(AND('Small Signal'!$B$62&gt;=1,FCCM=0),W117,T117), 0)</f>
        <v>-59.914824817544741</v>
      </c>
      <c r="P117" s="195">
        <f>IF(AND('Small Signal'!$B$62&gt;=1,FCCM=0),AF117+0,AC117+0)</f>
        <v>23.613399837800397</v>
      </c>
      <c r="Q117" s="195">
        <f>IF(AND('Small Signal'!$B$62&gt;=1,FCCM=0),AG117,AD117)</f>
        <v>73.492340541594132</v>
      </c>
      <c r="R117" s="195" t="str">
        <f>IMDIV(IMSUM('Small Signal'!$B$2*'Small Signal'!$B$39*'Small Signal'!$B$63,IMPRODUCT(M117,'Small Signal'!$B$2*'Small Signal'!$B$39*'Small Signal'!$B$63*'Small Signal'!$B$14*'Small Signal'!$B$15)),IMSUM(IMPRODUCT('Small Signal'!$B$12*'Small Signal'!$B$14*('Small Signal'!$B$15+'Small Signal'!$B$39),IMPOWER(M117,2)),IMSUM(IMPRODUCT(M117,('Small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0.776590723189924-1.2958849982101i</v>
      </c>
      <c r="S117" s="195">
        <f t="shared" si="59"/>
        <v>3.8133925438312288</v>
      </c>
      <c r="T117" s="195">
        <f t="shared" si="60"/>
        <v>-59.914824817544741</v>
      </c>
      <c r="U117" s="195" t="str">
        <f>IMDIV(IMSUM('Small Signal'!$B$75,IMPRODUCT(M117,'Small Signal'!$B$76)),IMSUM(IMPRODUCT('Small Signal'!$B$79,IMPOWER(M117,2)),IMSUM(IMPRODUCT(M117,'Small Signal'!$B$78),'Small Signal'!$B$77)))</f>
        <v>1.21065391533971-1.91448009682935i</v>
      </c>
      <c r="V117" s="195">
        <f t="shared" si="37"/>
        <v>7.1019498462123787</v>
      </c>
      <c r="W117" s="195">
        <f t="shared" si="38"/>
        <v>-57.692092696797808</v>
      </c>
      <c r="X117" s="195" t="str">
        <f>IMPRODUCT(IMDIV(IMSUM(IMPRODUCT(M117,'Small Signal'!$B$58*'Small Signal'!$B$6*'Small Signal'!$B$51*'Small Signal'!$B$7*'Small Signal'!$B$8),'Small Signal'!$B$58*'Small Signal'!$B$6*'Small Signal'!$B$51),IMSUM(IMSUM(IMPRODUCT(M117,('Small Signal'!$B$5+'Small Signal'!$B$6)*('Small Signal'!$B$57*'Small Signal'!$B$58)+'Small Signal'!$B$5*'Small Signal'!$B$58*('Small Signal'!$B$8+'Small Signal'!$B$9)+'Small Signal'!$B$6*'Small Signal'!$B$58*('Small Signal'!$B$8+'Small Signal'!$B$9)+'Small Signal'!$B$7*'Small Signal'!$B$8*('Small Signal'!$B$5+'Small Signal'!$B$6)),'Small Signal'!$B$6+'Small Signal'!$B$5),IMPRODUCT(IMPOWER(M117,2),'Small Signal'!$B$57*'Small Signal'!$B$58*'Small Signal'!$B$8*'Small Signal'!$B$7*('Small Signal'!$B$5+'Small Signal'!$B$6)+('Small Signal'!$B$5+'Small Signal'!$B$6)*('Small Signal'!$B$9*'Small Signal'!$B$8*'Small Signal'!$B$58*'Small Signal'!$B$7)))),-1)</f>
        <v>-6.51781840434398+7.26914482732577i</v>
      </c>
      <c r="Y117" s="195">
        <f t="shared" si="39"/>
        <v>19.80000729396917</v>
      </c>
      <c r="Z117" s="195">
        <f t="shared" si="40"/>
        <v>133.40716535913884</v>
      </c>
      <c r="AA117" s="195" t="str">
        <f t="shared" si="41"/>
        <v>1.00057278540413+0.0266629344037108i</v>
      </c>
      <c r="AB117" s="195" t="str">
        <f t="shared" si="42"/>
        <v>4.30732605261834+14.5341538979453i</v>
      </c>
      <c r="AC117" s="192">
        <f t="shared" si="43"/>
        <v>23.613399837800397</v>
      </c>
      <c r="AD117" s="195">
        <f t="shared" si="44"/>
        <v>73.492340541594132</v>
      </c>
      <c r="AE117" s="195" t="str">
        <f t="shared" si="45"/>
        <v>6.02581072219295+21.2786522562379i</v>
      </c>
      <c r="AF117" s="192">
        <f t="shared" si="46"/>
        <v>26.893900590065169</v>
      </c>
      <c r="AG117" s="195">
        <f t="shared" si="47"/>
        <v>74.188634818420596</v>
      </c>
      <c r="AI117" s="195" t="str">
        <f t="shared" si="48"/>
        <v>0.002-0.116803754454358i</v>
      </c>
      <c r="AJ117" s="195">
        <f t="shared" si="49"/>
        <v>0.22500000000000001</v>
      </c>
      <c r="AK117" s="195" t="str">
        <f t="shared" si="50"/>
        <v>0.0375-233.607508908716i</v>
      </c>
      <c r="AL117" s="195" t="str">
        <f t="shared" si="51"/>
        <v>0.048631058500898-0.0907067964493698i</v>
      </c>
      <c r="AM117" s="195" t="str">
        <f t="shared" si="52"/>
        <v>0.898472548189851-0.00518720944047561i</v>
      </c>
      <c r="AN117" s="195" t="str">
        <f t="shared" si="53"/>
        <v>0.006+0.0589686105058572i</v>
      </c>
      <c r="AO117" s="195" t="str">
        <f t="shared" si="54"/>
        <v>0.777599470519746-1.34222978446027i</v>
      </c>
      <c r="AP117" s="195">
        <f t="shared" si="61"/>
        <v>3.8133925438312288</v>
      </c>
      <c r="AQ117" s="195">
        <f t="shared" si="62"/>
        <v>-59.914824817544741</v>
      </c>
      <c r="AS117" s="195" t="str">
        <f t="shared" si="55"/>
        <v>0.92191886551412-0.00546147976306578i</v>
      </c>
      <c r="AT117" s="195" t="str">
        <f t="shared" si="56"/>
        <v>0.777680428796557-1.34484575383996i</v>
      </c>
      <c r="AU117" s="195">
        <f t="shared" si="63"/>
        <v>3.8262875971686312</v>
      </c>
      <c r="AV117" s="195">
        <f t="shared" si="64"/>
        <v>-59.960605773258067</v>
      </c>
    </row>
    <row r="118" spans="6:48" x14ac:dyDescent="0.2">
      <c r="F118" s="195">
        <v>116</v>
      </c>
      <c r="G118" s="210">
        <f t="shared" si="33"/>
        <v>170.58156178461883</v>
      </c>
      <c r="H118" s="210">
        <f t="shared" si="34"/>
        <v>168.57881372500071</v>
      </c>
      <c r="I118" s="196">
        <f t="shared" si="35"/>
        <v>1</v>
      </c>
      <c r="J118" s="195">
        <f t="shared" si="57"/>
        <v>1</v>
      </c>
      <c r="K118" s="195">
        <f t="shared" si="58"/>
        <v>1</v>
      </c>
      <c r="L118" s="195">
        <f>10^('Small Signal'!F118/30)</f>
        <v>7356.4225445964248</v>
      </c>
      <c r="M118" s="195" t="str">
        <f t="shared" si="36"/>
        <v>46221.7660456129i</v>
      </c>
      <c r="N118" s="195">
        <f>IF(D$32=1, IF(AND('Small Signal'!$B$62&gt;=1,FCCM=0),V118+0,S118+0), 0)</f>
        <v>3.3302344211135395</v>
      </c>
      <c r="O118" s="195">
        <f>IF(D$32=1, IF(AND('Small Signal'!$B$62&gt;=1,FCCM=0),W118,T118), 0)</f>
        <v>-62.106643821761068</v>
      </c>
      <c r="P118" s="195">
        <f>IF(AND('Small Signal'!$B$62&gt;=1,FCCM=0),AF118+0,AC118+0)</f>
        <v>22.779117796589329</v>
      </c>
      <c r="Q118" s="195">
        <f>IF(AND('Small Signal'!$B$62&gt;=1,FCCM=0),AG118,AD118)</f>
        <v>73.442452113425375</v>
      </c>
      <c r="R118" s="195" t="str">
        <f>IMDIV(IMSUM('Small Signal'!$B$2*'Small Signal'!$B$39*'Small Signal'!$B$63,IMPRODUCT(M118,'Small Signal'!$B$2*'Small Signal'!$B$39*'Small Signal'!$B$63*'Small Signal'!$B$14*'Small Signal'!$B$15)),IMSUM(IMPRODUCT('Small Signal'!$B$12*'Small Signal'!$B$14*('Small Signal'!$B$15+'Small Signal'!$B$39),IMPOWER(M118,2)),IMSUM(IMPRODUCT(M118,('Small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0.684202934004064-1.25896671142864i</v>
      </c>
      <c r="S118" s="195">
        <f t="shared" si="59"/>
        <v>3.3302344211135395</v>
      </c>
      <c r="T118" s="195">
        <f t="shared" si="60"/>
        <v>-62.106643821761068</v>
      </c>
      <c r="U118" s="195" t="str">
        <f>IMDIV(IMSUM('Small Signal'!$B$75,IMPRODUCT(M118,'Small Signal'!$B$76)),IMSUM(IMPRODUCT('Small Signal'!$B$79,IMPOWER(M118,2)),IMSUM(IMPRODUCT(M118,'Small Signal'!$B$78),'Small Signal'!$B$77)))</f>
        <v>1.04527472468613-1.90757067741642i</v>
      </c>
      <c r="V118" s="195">
        <f t="shared" si="37"/>
        <v>6.7499197307560275</v>
      </c>
      <c r="W118" s="195">
        <f t="shared" si="38"/>
        <v>-61.278968235397272</v>
      </c>
      <c r="X118" s="195" t="str">
        <f>IMPRODUCT(IMDIV(IMSUM(IMPRODUCT(M118,'Small Signal'!$B$58*'Small Signal'!$B$6*'Small Signal'!$B$51*'Small Signal'!$B$7*'Small Signal'!$B$8),'Small Signal'!$B$58*'Small Signal'!$B$6*'Small Signal'!$B$51),IMSUM(IMSUM(IMPRODUCT(M118,('Small Signal'!$B$5+'Small Signal'!$B$6)*('Small Signal'!$B$57*'Small Signal'!$B$58)+'Small Signal'!$B$5*'Small Signal'!$B$58*('Small Signal'!$B$8+'Small Signal'!$B$9)+'Small Signal'!$B$6*'Small Signal'!$B$58*('Small Signal'!$B$8+'Small Signal'!$B$9)+'Small Signal'!$B$7*'Small Signal'!$B$8*('Small Signal'!$B$5+'Small Signal'!$B$6)),'Small Signal'!$B$6+'Small Signal'!$B$5),IMPRODUCT(IMPOWER(M118,2),'Small Signal'!$B$57*'Small Signal'!$B$58*'Small Signal'!$B$8*'Small Signal'!$B$7*('Small Signal'!$B$5+'Small Signal'!$B$6)+('Small Signal'!$B$5+'Small Signal'!$B$6)*('Small Signal'!$B$9*'Small Signal'!$B$8*'Small Signal'!$B$58*'Small Signal'!$B$7)))),-1)</f>
        <v>-6.50083751726774+6.75507865866093i</v>
      </c>
      <c r="Y118" s="195">
        <f t="shared" si="39"/>
        <v>19.448883375475809</v>
      </c>
      <c r="Z118" s="195">
        <f t="shared" si="40"/>
        <v>135.54909593518647</v>
      </c>
      <c r="AA118" s="195" t="str">
        <f t="shared" si="41"/>
        <v>1.00066776764485+0.0287877710943764i</v>
      </c>
      <c r="AB118" s="195" t="str">
        <f t="shared" si="42"/>
        <v>3.9243486982166+13.1996800954837i</v>
      </c>
      <c r="AC118" s="192">
        <f t="shared" si="43"/>
        <v>22.779117796589329</v>
      </c>
      <c r="AD118" s="195">
        <f t="shared" si="44"/>
        <v>73.442452113425375</v>
      </c>
      <c r="AE118" s="195" t="str">
        <f t="shared" si="45"/>
        <v>6.09062882681173+19.4617200117535i</v>
      </c>
      <c r="AF118" s="192">
        <f t="shared" si="46"/>
        <v>26.189412020749185</v>
      </c>
      <c r="AG118" s="195">
        <f t="shared" si="47"/>
        <v>72.622265113900482</v>
      </c>
      <c r="AI118" s="195" t="str">
        <f t="shared" si="48"/>
        <v>0.002-0.108174144515938i</v>
      </c>
      <c r="AJ118" s="195">
        <f t="shared" si="49"/>
        <v>0.22500000000000001</v>
      </c>
      <c r="AK118" s="195" t="str">
        <f t="shared" si="50"/>
        <v>0.0375-216.348289031876i</v>
      </c>
      <c r="AL118" s="195" t="str">
        <f t="shared" si="51"/>
        <v>0.0432200548711797-0.0865825486381557i</v>
      </c>
      <c r="AM118" s="195" t="str">
        <f t="shared" si="52"/>
        <v>0.898467579636457-0.00560098894197596i</v>
      </c>
      <c r="AN118" s="195" t="str">
        <f t="shared" si="53"/>
        <v>0.006+0.0636728409812014i</v>
      </c>
      <c r="AO118" s="195" t="str">
        <f t="shared" si="54"/>
        <v>0.68643167063009-1.2968074263738i</v>
      </c>
      <c r="AP118" s="195">
        <f t="shared" si="61"/>
        <v>3.3302344211135395</v>
      </c>
      <c r="AQ118" s="195">
        <f t="shared" si="62"/>
        <v>-62.106643821761068</v>
      </c>
      <c r="AS118" s="195" t="str">
        <f t="shared" si="55"/>
        <v>0.921913497739532-0.00589713586206727i</v>
      </c>
      <c r="AT118" s="195" t="str">
        <f t="shared" si="56"/>
        <v>0.686590841368922-1.2989412201647i</v>
      </c>
      <c r="AU118" s="195">
        <f t="shared" si="63"/>
        <v>3.3418329388783667</v>
      </c>
      <c r="AV118" s="195">
        <f t="shared" si="64"/>
        <v>-62.14008641751014</v>
      </c>
    </row>
    <row r="119" spans="6:48" x14ac:dyDescent="0.2">
      <c r="F119" s="195">
        <v>117</v>
      </c>
      <c r="G119" s="210">
        <f t="shared" si="33"/>
        <v>170.74055319236982</v>
      </c>
      <c r="H119" s="210">
        <f t="shared" si="34"/>
        <v>168.57881372500071</v>
      </c>
      <c r="I119" s="196">
        <f t="shared" si="35"/>
        <v>1</v>
      </c>
      <c r="J119" s="195">
        <f t="shared" si="57"/>
        <v>1</v>
      </c>
      <c r="K119" s="195">
        <f t="shared" si="58"/>
        <v>1</v>
      </c>
      <c r="L119" s="195">
        <f>10^('Small Signal'!F119/30)</f>
        <v>7943.2823472428154</v>
      </c>
      <c r="M119" s="195" t="str">
        <f t="shared" si="36"/>
        <v>49909.114934975i</v>
      </c>
      <c r="N119" s="195">
        <f>IF(D$32=1, IF(AND('Small Signal'!$B$62&gt;=1,FCCM=0),V119+0,S119+0), 0)</f>
        <v>2.8268369724466682</v>
      </c>
      <c r="O119" s="195">
        <f>IF(D$32=1, IF(AND('Small Signal'!$B$62&gt;=1,FCCM=0),W119,T119), 0)</f>
        <v>-64.245668955657933</v>
      </c>
      <c r="P119" s="195">
        <f>IF(AND('Small Signal'!$B$62&gt;=1,FCCM=0),AF119+0,AC119+0)</f>
        <v>21.950280674655996</v>
      </c>
      <c r="Q119" s="195">
        <f>IF(AND('Small Signal'!$B$62&gt;=1,FCCM=0),AG119,AD119)</f>
        <v>73.454699183647222</v>
      </c>
      <c r="R119" s="195" t="str">
        <f>IMDIV(IMSUM('Small Signal'!$B$2*'Small Signal'!$B$39*'Small Signal'!$B$63,IMPRODUCT(M119,'Small Signal'!$B$2*'Small Signal'!$B$39*'Small Signal'!$B$63*'Small Signal'!$B$14*'Small Signal'!$B$15)),IMSUM(IMPRODUCT('Small Signal'!$B$12*'Small Signal'!$B$14*('Small Signal'!$B$15+'Small Signal'!$B$39),IMPOWER(M119,2)),IMSUM(IMPRODUCT(M119,('Small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0.597268584704995-1.21677131089091i</v>
      </c>
      <c r="S119" s="195">
        <f t="shared" si="59"/>
        <v>2.8268369724466682</v>
      </c>
      <c r="T119" s="195">
        <f t="shared" si="60"/>
        <v>-64.245668955657933</v>
      </c>
      <c r="U119" s="195" t="str">
        <f>IMDIV(IMSUM('Small Signal'!$B$75,IMPRODUCT(M119,'Small Signal'!$B$76)),IMSUM(IMPRODUCT('Small Signal'!$B$79,IMPOWER(M119,2)),IMSUM(IMPRODUCT(M119,'Small Signal'!$B$78),'Small Signal'!$B$77)))</f>
        <v>0.879786886345195-1.88451697725204i</v>
      </c>
      <c r="V119" s="195">
        <f t="shared" si="37"/>
        <v>6.360292080363056</v>
      </c>
      <c r="W119" s="195">
        <f t="shared" si="38"/>
        <v>-64.974478011860583</v>
      </c>
      <c r="X119" s="195" t="str">
        <f>IMPRODUCT(IMDIV(IMSUM(IMPRODUCT(M119,'Small Signal'!$B$58*'Small Signal'!$B$6*'Small Signal'!$B$51*'Small Signal'!$B$7*'Small Signal'!$B$8),'Small Signal'!$B$58*'Small Signal'!$B$6*'Small Signal'!$B$51),IMSUM(IMSUM(IMPRODUCT(M119,('Small Signal'!$B$5+'Small Signal'!$B$6)*('Small Signal'!$B$57*'Small Signal'!$B$58)+'Small Signal'!$B$5*'Small Signal'!$B$58*('Small Signal'!$B$8+'Small Signal'!$B$9)+'Small Signal'!$B$6*'Small Signal'!$B$58*('Small Signal'!$B$8+'Small Signal'!$B$9)+'Small Signal'!$B$7*'Small Signal'!$B$8*('Small Signal'!$B$5+'Small Signal'!$B$6)),'Small Signal'!$B$6+'Small Signal'!$B$5),IMPRODUCT(IMPOWER(M119,2),'Small Signal'!$B$57*'Small Signal'!$B$58*'Small Signal'!$B$8*'Small Signal'!$B$7*('Small Signal'!$B$5+'Small Signal'!$B$6)+('Small Signal'!$B$5+'Small Signal'!$B$6)*('Small Signal'!$B$9*'Small Signal'!$B$8*'Small Signal'!$B$58*'Small Signal'!$B$7)))),-1)</f>
        <v>-6.48609716789775+6.2807511885804i</v>
      </c>
      <c r="Y119" s="195">
        <f t="shared" si="39"/>
        <v>19.123443702209311</v>
      </c>
      <c r="Z119" s="195">
        <f t="shared" si="40"/>
        <v>137.70036813930511</v>
      </c>
      <c r="AA119" s="195" t="str">
        <f t="shared" si="41"/>
        <v>1.00077849045319+0.0310815469645547i</v>
      </c>
      <c r="AB119" s="195" t="str">
        <f t="shared" si="42"/>
        <v>3.56462107573625+11.9991128622335i</v>
      </c>
      <c r="AC119" s="192">
        <f t="shared" si="43"/>
        <v>21.950280674655996</v>
      </c>
      <c r="AD119" s="195">
        <f t="shared" si="44"/>
        <v>73.454699183647222</v>
      </c>
      <c r="AE119" s="195" t="str">
        <f t="shared" si="45"/>
        <v>6.12979901289854+17.7488827611197i</v>
      </c>
      <c r="AF119" s="192">
        <f t="shared" si="46"/>
        <v>25.472789518448913</v>
      </c>
      <c r="AG119" s="195">
        <f t="shared" si="47"/>
        <v>70.94700575524746</v>
      </c>
      <c r="AI119" s="195" t="str">
        <f t="shared" si="48"/>
        <v>0.002-0.100182101135521i</v>
      </c>
      <c r="AJ119" s="195">
        <f t="shared" si="49"/>
        <v>0.22500000000000001</v>
      </c>
      <c r="AK119" s="195" t="str">
        <f t="shared" si="50"/>
        <v>0.0375-200.364202271042i</v>
      </c>
      <c r="AL119" s="195" t="str">
        <f t="shared" si="51"/>
        <v>0.0383074011680631-0.0823527635490935i</v>
      </c>
      <c r="AM119" s="195" t="str">
        <f t="shared" si="52"/>
        <v>0.898461786797877-0.00604776975098052i</v>
      </c>
      <c r="AN119" s="195" t="str">
        <f t="shared" si="53"/>
        <v>0.006+0.0687523522063431i</v>
      </c>
      <c r="AO119" s="195" t="str">
        <f t="shared" si="54"/>
        <v>0.601651444484295-1.2471116210846i</v>
      </c>
      <c r="AP119" s="195">
        <f t="shared" si="61"/>
        <v>2.8268369724466682</v>
      </c>
      <c r="AQ119" s="195">
        <f t="shared" si="62"/>
        <v>-64.245668955657933</v>
      </c>
      <c r="AS119" s="195" t="str">
        <f t="shared" si="55"/>
        <v>0.921907239452763-0.00636753760725936i</v>
      </c>
      <c r="AT119" s="195" t="str">
        <f t="shared" si="56"/>
        <v>0.601936823031238-1.24882094420561i</v>
      </c>
      <c r="AU119" s="195">
        <f t="shared" si="63"/>
        <v>2.8372664913269094</v>
      </c>
      <c r="AV119" s="195">
        <f t="shared" si="64"/>
        <v>-64.265742370793049</v>
      </c>
    </row>
    <row r="120" spans="6:48" x14ac:dyDescent="0.2">
      <c r="F120" s="195">
        <v>118</v>
      </c>
      <c r="G120" s="210">
        <f t="shared" si="33"/>
        <v>170.91202758480631</v>
      </c>
      <c r="H120" s="210">
        <f t="shared" si="34"/>
        <v>168.57881372500071</v>
      </c>
      <c r="I120" s="196">
        <f t="shared" si="35"/>
        <v>1</v>
      </c>
      <c r="J120" s="195">
        <f t="shared" si="57"/>
        <v>1</v>
      </c>
      <c r="K120" s="195">
        <f t="shared" si="58"/>
        <v>1</v>
      </c>
      <c r="L120" s="195">
        <f>10^('Small Signal'!F120/30)</f>
        <v>8576.9589859089447</v>
      </c>
      <c r="M120" s="195" t="str">
        <f t="shared" si="36"/>
        <v>53890.622680545i</v>
      </c>
      <c r="N120" s="195">
        <f>IF(D$32=1, IF(AND('Small Signal'!$B$62&gt;=1,FCCM=0),V120+0,S120+0), 0)</f>
        <v>2.3046064956413974</v>
      </c>
      <c r="O120" s="195">
        <f>IF(D$32=1, IF(AND('Small Signal'!$B$62&gt;=1,FCCM=0),W120,T120), 0)</f>
        <v>-66.327688499477048</v>
      </c>
      <c r="P120" s="195">
        <f>IF(AND('Small Signal'!$B$62&gt;=1,FCCM=0),AF120+0,AC120+0)</f>
        <v>21.128245916393094</v>
      </c>
      <c r="Q120" s="195">
        <f>IF(AND('Small Signal'!$B$62&gt;=1,FCCM=0),AG120,AD120)</f>
        <v>73.520100733231999</v>
      </c>
      <c r="R120" s="195" t="str">
        <f>IMDIV(IMSUM('Small Signal'!$B$2*'Small Signal'!$B$39*'Small Signal'!$B$63,IMPRODUCT(M120,'Small Signal'!$B$2*'Small Signal'!$B$39*'Small Signal'!$B$63*'Small Signal'!$B$14*'Small Signal'!$B$15)),IMSUM(IMPRODUCT('Small Signal'!$B$12*'Small Signal'!$B$14*('Small Signal'!$B$15+'Small Signal'!$B$39),IMPOWER(M120,2)),IMSUM(IMPRODUCT(M120,('Small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0.516265552070289-1.17023244894503i</v>
      </c>
      <c r="S120" s="195">
        <f t="shared" si="59"/>
        <v>2.3046064956413974</v>
      </c>
      <c r="T120" s="195">
        <f t="shared" si="60"/>
        <v>-66.327688499477048</v>
      </c>
      <c r="U120" s="195" t="str">
        <f>IMDIV(IMSUM('Small Signal'!$B$75,IMPRODUCT(M120,'Small Signal'!$B$76)),IMSUM(IMPRODUCT('Small Signal'!$B$79,IMPOWER(M120,2)),IMSUM(IMPRODUCT(M120,'Small Signal'!$B$78),'Small Signal'!$B$77)))</f>
        <v>0.716952206846708-1.84509443278185i</v>
      </c>
      <c r="V120" s="195">
        <f t="shared" si="37"/>
        <v>5.9310809532247717</v>
      </c>
      <c r="W120" s="195">
        <f t="shared" si="38"/>
        <v>-68.765262755165537</v>
      </c>
      <c r="X120" s="195" t="str">
        <f>IMPRODUCT(IMDIV(IMSUM(IMPRODUCT(M120,'Small Signal'!$B$58*'Small Signal'!$B$6*'Small Signal'!$B$51*'Small Signal'!$B$7*'Small Signal'!$B$8),'Small Signal'!$B$58*'Small Signal'!$B$6*'Small Signal'!$B$51),IMSUM(IMSUM(IMPRODUCT(M120,('Small Signal'!$B$5+'Small Signal'!$B$6)*('Small Signal'!$B$57*'Small Signal'!$B$58)+'Small Signal'!$B$5*'Small Signal'!$B$58*('Small Signal'!$B$8+'Small Signal'!$B$9)+'Small Signal'!$B$6*'Small Signal'!$B$58*('Small Signal'!$B$8+'Small Signal'!$B$9)+'Small Signal'!$B$7*'Small Signal'!$B$8*('Small Signal'!$B$5+'Small Signal'!$B$6)),'Small Signal'!$B$6+'Small Signal'!$B$5),IMPRODUCT(IMPOWER(M120,2),'Small Signal'!$B$57*'Small Signal'!$B$58*'Small Signal'!$B$8*'Small Signal'!$B$7*('Small Signal'!$B$5+'Small Signal'!$B$6)+('Small Signal'!$B$5+'Small Signal'!$B$6)*('Small Signal'!$B$9*'Small Signal'!$B$8*'Small Signal'!$B$58*'Small Signal'!$B$7)))),-1)</f>
        <v>-6.47324981602772+5.84338001190865i</v>
      </c>
      <c r="Y120" s="195">
        <f t="shared" si="39"/>
        <v>18.823639420751704</v>
      </c>
      <c r="Z120" s="195">
        <f t="shared" si="40"/>
        <v>139.84778923270906</v>
      </c>
      <c r="AA120" s="195" t="str">
        <f t="shared" si="41"/>
        <v>1.00090755882711+0.0335575917888866i</v>
      </c>
      <c r="AB120" s="195" t="str">
        <f t="shared" si="42"/>
        <v>3.23027433602355+10.9192890460244i</v>
      </c>
      <c r="AC120" s="192">
        <f t="shared" si="43"/>
        <v>21.128245916393094</v>
      </c>
      <c r="AD120" s="195">
        <f t="shared" si="44"/>
        <v>73.520100733231999</v>
      </c>
      <c r="AE120" s="195" t="str">
        <f t="shared" si="45"/>
        <v>6.14057718753027+16.1331813925407i</v>
      </c>
      <c r="AF120" s="192">
        <f t="shared" si="46"/>
        <v>24.741961957690819</v>
      </c>
      <c r="AG120" s="195">
        <f t="shared" si="47"/>
        <v>69.162280767933837</v>
      </c>
      <c r="AI120" s="195" t="str">
        <f t="shared" si="48"/>
        <v>0.002-0.0927805200848986i</v>
      </c>
      <c r="AJ120" s="195">
        <f t="shared" si="49"/>
        <v>0.22500000000000001</v>
      </c>
      <c r="AK120" s="195" t="str">
        <f t="shared" si="50"/>
        <v>0.0375-185.561040169797i</v>
      </c>
      <c r="AL120" s="195" t="str">
        <f t="shared" si="51"/>
        <v>0.0338772776025803-0.078078251663834i</v>
      </c>
      <c r="AM120" s="195" t="str">
        <f t="shared" si="52"/>
        <v>0.898455032938281-0.00653018247594573i</v>
      </c>
      <c r="AN120" s="195" t="str">
        <f t="shared" si="53"/>
        <v>0.006+0.0742370822640161i</v>
      </c>
      <c r="AO120" s="195" t="str">
        <f t="shared" si="54"/>
        <v>0.523505841857861-1.19414720319929i</v>
      </c>
      <c r="AP120" s="195">
        <f t="shared" si="61"/>
        <v>2.3046064956413974</v>
      </c>
      <c r="AQ120" s="195">
        <f t="shared" si="62"/>
        <v>-66.327688499477048</v>
      </c>
      <c r="AS120" s="195" t="str">
        <f t="shared" si="55"/>
        <v>0.921899942933381-0.00687545453666023i</v>
      </c>
      <c r="AT120" s="195" t="str">
        <f t="shared" si="56"/>
        <v>0.523952759642441-1.1954921469621i</v>
      </c>
      <c r="AU120" s="195">
        <f t="shared" si="63"/>
        <v>2.314002526835075</v>
      </c>
      <c r="AV120" s="195">
        <f t="shared" si="64"/>
        <v>-66.333425204541157</v>
      </c>
    </row>
    <row r="121" spans="6:48" x14ac:dyDescent="0.2">
      <c r="F121" s="195">
        <v>119</v>
      </c>
      <c r="G121" s="210">
        <f t="shared" si="33"/>
        <v>171.09692927767625</v>
      </c>
      <c r="H121" s="210">
        <f t="shared" si="34"/>
        <v>168.57881372500071</v>
      </c>
      <c r="I121" s="196">
        <f t="shared" si="35"/>
        <v>1</v>
      </c>
      <c r="J121" s="195">
        <f t="shared" si="57"/>
        <v>1</v>
      </c>
      <c r="K121" s="195">
        <f t="shared" si="58"/>
        <v>1</v>
      </c>
      <c r="L121" s="195">
        <f>10^('Small Signal'!F121/30)</f>
        <v>9261.187281287941</v>
      </c>
      <c r="M121" s="195" t="str">
        <f t="shared" si="36"/>
        <v>58189.7558528268i</v>
      </c>
      <c r="N121" s="195">
        <f>IF(D$32=1, IF(AND('Small Signal'!$B$62&gt;=1,FCCM=0),V121+0,S121+0), 0)</f>
        <v>1.7649737239263881</v>
      </c>
      <c r="O121" s="195">
        <f>IF(D$32=1, IF(AND('Small Signal'!$B$62&gt;=1,FCCM=0),W121,T121), 0)</f>
        <v>-68.350058123734328</v>
      </c>
      <c r="P121" s="195">
        <f>IF(AND('Small Signal'!$B$62&gt;=1,FCCM=0),AF121+0,AC121+0)</f>
        <v>20.314104045434821</v>
      </c>
      <c r="Q121" s="195">
        <f>IF(AND('Small Signal'!$B$62&gt;=1,FCCM=0),AG121,AD121)</f>
        <v>73.628421134437858</v>
      </c>
      <c r="R121" s="195" t="str">
        <f>IMDIV(IMSUM('Small Signal'!$B$2*'Small Signal'!$B$39*'Small Signal'!$B$63,IMPRODUCT(M121,'Small Signal'!$B$2*'Small Signal'!$B$39*'Small Signal'!$B$63*'Small Signal'!$B$14*'Small Signal'!$B$15)),IMSUM(IMPRODUCT('Small Signal'!$B$12*'Small Signal'!$B$14*('Small Signal'!$B$15+'Small Signal'!$B$39),IMPOWER(M121,2)),IMSUM(IMPRODUCT(M121,('Small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0.441482952754723-1.12029414564261i</v>
      </c>
      <c r="S121" s="195">
        <f t="shared" si="59"/>
        <v>1.7649737239263881</v>
      </c>
      <c r="T121" s="195">
        <f t="shared" si="60"/>
        <v>-68.350058123734328</v>
      </c>
      <c r="U121" s="195" t="str">
        <f>IMDIV(IMSUM('Small Signal'!$B$75,IMPRODUCT(M121,'Small Signal'!$B$76)),IMSUM(IMPRODUCT('Small Signal'!$B$79,IMPOWER(M121,2)),IMSUM(IMPRODUCT(M121,'Small Signal'!$B$78),'Small Signal'!$B$77)))</f>
        <v>0.559602792637336-1.78965959260315i</v>
      </c>
      <c r="V121" s="195">
        <f t="shared" si="37"/>
        <v>5.4605340484478173</v>
      </c>
      <c r="W121" s="195">
        <f t="shared" si="38"/>
        <v>-72.636229279810536</v>
      </c>
      <c r="X121" s="195" t="str">
        <f>IMPRODUCT(IMDIV(IMSUM(IMPRODUCT(M121,'Small Signal'!$B$58*'Small Signal'!$B$6*'Small Signal'!$B$51*'Small Signal'!$B$7*'Small Signal'!$B$8),'Small Signal'!$B$58*'Small Signal'!$B$6*'Small Signal'!$B$51),IMSUM(IMSUM(IMPRODUCT(M121,('Small Signal'!$B$5+'Small Signal'!$B$6)*('Small Signal'!$B$57*'Small Signal'!$B$58)+'Small Signal'!$B$5*'Small Signal'!$B$58*('Small Signal'!$B$8+'Small Signal'!$B$9)+'Small Signal'!$B$6*'Small Signal'!$B$58*('Small Signal'!$B$8+'Small Signal'!$B$9)+'Small Signal'!$B$7*'Small Signal'!$B$8*('Small Signal'!$B$5+'Small Signal'!$B$6)),'Small Signal'!$B$6+'Small Signal'!$B$5),IMPRODUCT(IMPOWER(M121,2),'Small Signal'!$B$57*'Small Signal'!$B$58*'Small Signal'!$B$8*'Small Signal'!$B$7*('Small Signal'!$B$5+'Small Signal'!$B$6)+('Small Signal'!$B$5+'Small Signal'!$B$6)*('Small Signal'!$B$9*'Small Signal'!$B$8*'Small Signal'!$B$58*'Small Signal'!$B$7)))),-1)</f>
        <v>-6.46199252755065+5.44039725491769i</v>
      </c>
      <c r="Y121" s="195">
        <f t="shared" si="39"/>
        <v>18.549130321508436</v>
      </c>
      <c r="Z121" s="195">
        <f t="shared" si="40"/>
        <v>141.97847925817217</v>
      </c>
      <c r="AA121" s="195" t="str">
        <f t="shared" si="41"/>
        <v>1.00105800760743+0.0362302606679876i</v>
      </c>
      <c r="AB121" s="195" t="str">
        <f t="shared" si="42"/>
        <v>2.92245087362229+9.94785208819981i</v>
      </c>
      <c r="AC121" s="192">
        <f t="shared" si="43"/>
        <v>20.314104045434821</v>
      </c>
      <c r="AD121" s="195">
        <f t="shared" si="44"/>
        <v>73.628421134437858</v>
      </c>
      <c r="AE121" s="195" t="str">
        <f t="shared" si="45"/>
        <v>6.12031007041635+14.6092284111693i</v>
      </c>
      <c r="AF121" s="192">
        <f t="shared" si="46"/>
        <v>23.994794569232347</v>
      </c>
      <c r="AG121" s="195">
        <f t="shared" si="47"/>
        <v>67.269507569781794</v>
      </c>
      <c r="AI121" s="195" t="str">
        <f t="shared" si="48"/>
        <v>0.002-0.0859257772561541i</v>
      </c>
      <c r="AJ121" s="195">
        <f t="shared" si="49"/>
        <v>0.22500000000000001</v>
      </c>
      <c r="AK121" s="195" t="str">
        <f t="shared" si="50"/>
        <v>0.0375-171.851554512309i</v>
      </c>
      <c r="AL121" s="195" t="str">
        <f t="shared" si="51"/>
        <v>0.0299065997837107-0.0738120076471947i</v>
      </c>
      <c r="AM121" s="195" t="str">
        <f t="shared" si="52"/>
        <v>0.898447158644311-0.00705106704506377i</v>
      </c>
      <c r="AN121" s="195" t="str">
        <f t="shared" si="53"/>
        <v>0.006+0.0801593575523634i</v>
      </c>
      <c r="AO121" s="195" t="str">
        <f t="shared" si="54"/>
        <v>0.452062383306561-1.13887792295796i</v>
      </c>
      <c r="AP121" s="195">
        <f t="shared" si="61"/>
        <v>1.7649737239263881</v>
      </c>
      <c r="AQ121" s="195">
        <f t="shared" si="62"/>
        <v>-68.350058123734328</v>
      </c>
      <c r="AS121" s="195" t="str">
        <f t="shared" si="55"/>
        <v>0.921891435962175-0.00742387653282301i</v>
      </c>
      <c r="AT121" s="195" t="str">
        <f t="shared" si="56"/>
        <v>0.452694417901834-1.13991834568927i</v>
      </c>
      <c r="AU121" s="195">
        <f t="shared" si="63"/>
        <v>1.7734775604716824</v>
      </c>
      <c r="AV121" s="195">
        <f t="shared" si="64"/>
        <v>-68.340547131515038</v>
      </c>
    </row>
    <row r="122" spans="6:48" x14ac:dyDescent="0.2">
      <c r="F122" s="195">
        <v>120</v>
      </c>
      <c r="G122" s="210">
        <f t="shared" si="33"/>
        <v>171.29626477523703</v>
      </c>
      <c r="H122" s="210">
        <f t="shared" si="34"/>
        <v>168.57881372500071</v>
      </c>
      <c r="I122" s="196">
        <f t="shared" si="35"/>
        <v>1</v>
      </c>
      <c r="J122" s="195">
        <f t="shared" si="57"/>
        <v>1</v>
      </c>
      <c r="K122" s="195">
        <f t="shared" si="58"/>
        <v>1</v>
      </c>
      <c r="L122" s="195">
        <f>10^('Small Signal'!F122/30)</f>
        <v>10000</v>
      </c>
      <c r="M122" s="195" t="str">
        <f t="shared" si="36"/>
        <v>62831.8530717959i</v>
      </c>
      <c r="N122" s="195">
        <f>IF(D$32=1, IF(AND('Small Signal'!$B$62&gt;=1,FCCM=0),V122+0,S122+0), 0)</f>
        <v>1.2093544704569124</v>
      </c>
      <c r="O122" s="195">
        <f>IF(D$32=1, IF(AND('Small Signal'!$B$62&gt;=1,FCCM=0),W122,T122), 0)</f>
        <v>-70.311620939977942</v>
      </c>
      <c r="P122" s="195">
        <f>IF(AND('Small Signal'!$B$62&gt;=1,FCCM=0),AF122+0,AC122+0)</f>
        <v>19.508657116220164</v>
      </c>
      <c r="Q122" s="195">
        <f>IF(AND('Small Signal'!$B$62&gt;=1,FCCM=0),AG122,AD122)</f>
        <v>73.768601904430014</v>
      </c>
      <c r="R122" s="195" t="str">
        <f>IMDIV(IMSUM('Small Signal'!$B$2*'Small Signal'!$B$39*'Small Signal'!$B$63,IMPRODUCT(M122,'Small Signal'!$B$2*'Small Signal'!$B$39*'Small Signal'!$B$63*'Small Signal'!$B$14*'Small Signal'!$B$15)),IMSUM(IMPRODUCT('Small Signal'!$B$12*'Small Signal'!$B$14*('Small Signal'!$B$15+'Small Signal'!$B$39),IMPOWER(M122,2)),IMSUM(IMPRODUCT(M122,('Small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0.373036478525602-1.06787174083894i</v>
      </c>
      <c r="S122" s="195">
        <f t="shared" si="59"/>
        <v>1.2093544704569124</v>
      </c>
      <c r="T122" s="195">
        <f t="shared" si="60"/>
        <v>-70.311620939977942</v>
      </c>
      <c r="U122" s="195" t="str">
        <f>IMDIV(IMSUM('Small Signal'!$B$75,IMPRODUCT(M122,'Small Signal'!$B$76)),IMSUM(IMPRODUCT('Small Signal'!$B$79,IMPOWER(M122,2)),IMSUM(IMPRODUCT(M122,'Small Signal'!$B$78),'Small Signal'!$B$77)))</f>
        <v>0.410490740806695-1.71916905641054i</v>
      </c>
      <c r="V122" s="195">
        <f t="shared" si="37"/>
        <v>4.9471726610107076</v>
      </c>
      <c r="W122" s="195">
        <f t="shared" si="38"/>
        <v>-76.570771275681992</v>
      </c>
      <c r="X122" s="195" t="str">
        <f>IMPRODUCT(IMDIV(IMSUM(IMPRODUCT(M122,'Small Signal'!$B$58*'Small Signal'!$B$6*'Small Signal'!$B$51*'Small Signal'!$B$7*'Small Signal'!$B$8),'Small Signal'!$B$58*'Small Signal'!$B$6*'Small Signal'!$B$51),IMSUM(IMSUM(IMPRODUCT(M122,('Small Signal'!$B$5+'Small Signal'!$B$6)*('Small Signal'!$B$57*'Small Signal'!$B$58)+'Small Signal'!$B$5*'Small Signal'!$B$58*('Small Signal'!$B$8+'Small Signal'!$B$9)+'Small Signal'!$B$6*'Small Signal'!$B$58*('Small Signal'!$B$8+'Small Signal'!$B$9)+'Small Signal'!$B$7*'Small Signal'!$B$8*('Small Signal'!$B$5+'Small Signal'!$B$6)),'Small Signal'!$B$6+'Small Signal'!$B$5),IMPRODUCT(IMPOWER(M122,2),'Small Signal'!$B$57*'Small Signal'!$B$58*'Small Signal'!$B$8*'Small Signal'!$B$7*('Small Signal'!$B$5+'Small Signal'!$B$6)+('Small Signal'!$B$5+'Small Signal'!$B$6)*('Small Signal'!$B$9*'Small Signal'!$B$8*'Small Signal'!$B$58*'Small Signal'!$B$7)))),-1)</f>
        <v>-6.45205985962658+5.0694349697076i</v>
      </c>
      <c r="Y122" s="195">
        <f t="shared" si="39"/>
        <v>18.299302645763252</v>
      </c>
      <c r="Z122" s="195">
        <f t="shared" si="40"/>
        <v>144.08022284440798</v>
      </c>
      <c r="AA122" s="195" t="str">
        <f t="shared" si="41"/>
        <v>1.00123337194777+0.0391150060164306i</v>
      </c>
      <c r="AB122" s="195" t="str">
        <f t="shared" si="42"/>
        <v>2.64144490400192+9.07335106376724i</v>
      </c>
      <c r="AC122" s="192">
        <f t="shared" si="43"/>
        <v>19.508657116220164</v>
      </c>
      <c r="AD122" s="195">
        <f t="shared" si="44"/>
        <v>73.768601904430014</v>
      </c>
      <c r="AE122" s="195" t="str">
        <f t="shared" si="45"/>
        <v>6.06670490189955+13.1731377769652i</v>
      </c>
      <c r="AF122" s="192">
        <f t="shared" si="46"/>
        <v>23.229145753765799</v>
      </c>
      <c r="AG122" s="195">
        <f t="shared" si="47"/>
        <v>65.272225244876296</v>
      </c>
      <c r="AI122" s="195" t="str">
        <f t="shared" si="48"/>
        <v>0.002-0.0795774715459475i</v>
      </c>
      <c r="AJ122" s="195">
        <f t="shared" si="49"/>
        <v>0.22500000000000001</v>
      </c>
      <c r="AK122" s="195" t="str">
        <f t="shared" si="50"/>
        <v>0.0375-159.154943091895i</v>
      </c>
      <c r="AL122" s="195" t="str">
        <f t="shared" si="51"/>
        <v>0.0263671418764791-0.0695988746629849i</v>
      </c>
      <c r="AM122" s="195" t="str">
        <f t="shared" si="52"/>
        <v>0.898437978065847-0.00761348926565953i</v>
      </c>
      <c r="AN122" s="195" t="str">
        <f t="shared" si="53"/>
        <v>0.006+0.0865540833131882i</v>
      </c>
      <c r="AO122" s="195" t="str">
        <f t="shared" si="54"/>
        <v>0.387234707893306-1.08219616251329i</v>
      </c>
      <c r="AP122" s="195">
        <f t="shared" si="61"/>
        <v>1.2093544704569124</v>
      </c>
      <c r="AQ122" s="195">
        <f t="shared" si="62"/>
        <v>-70.311620939977942</v>
      </c>
      <c r="AS122" s="195" t="str">
        <f t="shared" si="55"/>
        <v>0.92188151776017-0.008016031246643i</v>
      </c>
      <c r="AT122" s="195" t="str">
        <f t="shared" si="56"/>
        <v>0.388065043798476-1.08298962592644i</v>
      </c>
      <c r="AU122" s="195">
        <f t="shared" si="63"/>
        <v>1.2171115060599804</v>
      </c>
      <c r="AV122" s="195">
        <f t="shared" si="64"/>
        <v>-70.285997992736071</v>
      </c>
    </row>
    <row r="123" spans="6:48" x14ac:dyDescent="0.2">
      <c r="F123" s="195">
        <v>121</v>
      </c>
      <c r="G123" s="210">
        <f t="shared" si="33"/>
        <v>171.51110441779417</v>
      </c>
      <c r="H123" s="210">
        <f t="shared" si="34"/>
        <v>168.57881372500071</v>
      </c>
      <c r="I123" s="196">
        <f t="shared" si="35"/>
        <v>1</v>
      </c>
      <c r="J123" s="195">
        <f t="shared" si="57"/>
        <v>1</v>
      </c>
      <c r="K123" s="195">
        <f t="shared" si="58"/>
        <v>1</v>
      </c>
      <c r="L123" s="195">
        <f>10^('Small Signal'!F123/30)</f>
        <v>10797.751623277109</v>
      </c>
      <c r="M123" s="195" t="str">
        <f t="shared" si="36"/>
        <v>67844.2743499492i</v>
      </c>
      <c r="N123" s="195">
        <f>IF(D$32=1, IF(AND('Small Signal'!$B$62&gt;=1,FCCM=0),V123+0,S123+0), 0)</f>
        <v>0.63911625885821155</v>
      </c>
      <c r="O123" s="195">
        <f>IF(D$32=1, IF(AND('Small Signal'!$B$62&gt;=1,FCCM=0),W123,T123), 0)</f>
        <v>-72.21258923367607</v>
      </c>
      <c r="P123" s="195">
        <f>IF(AND('Small Signal'!$B$62&gt;=1,FCCM=0),AF123+0,AC123+0)</f>
        <v>18.712415074750083</v>
      </c>
      <c r="Q123" s="195">
        <f>IF(AND('Small Signal'!$B$62&gt;=1,FCCM=0),AG123,AD123)</f>
        <v>73.929187860767129</v>
      </c>
      <c r="R123" s="195" t="str">
        <f>IMDIV(IMSUM('Small Signal'!$B$2*'Small Signal'!$B$39*'Small Signal'!$B$63,IMPRODUCT(M123,'Small Signal'!$B$2*'Small Signal'!$B$39*'Small Signal'!$B$63*'Small Signal'!$B$14*'Small Signal'!$B$15)),IMSUM(IMPRODUCT('Small Signal'!$B$12*'Small Signal'!$B$14*('Small Signal'!$B$15+'Small Signal'!$B$39),IMPOWER(M123,2)),IMSUM(IMPRODUCT(M123,('Small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0.310891058020519-1.01382108129168i</v>
      </c>
      <c r="S123" s="195">
        <f t="shared" si="59"/>
        <v>0.63911625885821155</v>
      </c>
      <c r="T123" s="195">
        <f t="shared" si="60"/>
        <v>-72.21258923367607</v>
      </c>
      <c r="U123" s="195" t="str">
        <f>IMDIV(IMSUM('Small Signal'!$B$75,IMPRODUCT(M123,'Small Signal'!$B$76)),IMSUM(IMPRODUCT('Small Signal'!$B$79,IMPOWER(M123,2)),IMSUM(IMPRODUCT(M123,'Small Signal'!$B$78),'Small Signal'!$B$77)))</f>
        <v>0.272133927233127-1.63515328323171i</v>
      </c>
      <c r="V123" s="195">
        <f t="shared" si="37"/>
        <v>4.3898245349039549</v>
      </c>
      <c r="W123" s="195">
        <f t="shared" si="38"/>
        <v>-80.551029801396766</v>
      </c>
      <c r="X123" s="195" t="str">
        <f>IMPRODUCT(IMDIV(IMSUM(IMPRODUCT(M123,'Small Signal'!$B$58*'Small Signal'!$B$6*'Small Signal'!$B$51*'Small Signal'!$B$7*'Small Signal'!$B$8),'Small Signal'!$B$58*'Small Signal'!$B$6*'Small Signal'!$B$51),IMSUM(IMSUM(IMPRODUCT(M123,('Small Signal'!$B$5+'Small Signal'!$B$6)*('Small Signal'!$B$57*'Small Signal'!$B$58)+'Small Signal'!$B$5*'Small Signal'!$B$58*('Small Signal'!$B$8+'Small Signal'!$B$9)+'Small Signal'!$B$6*'Small Signal'!$B$58*('Small Signal'!$B$8+'Small Signal'!$B$9)+'Small Signal'!$B$7*'Small Signal'!$B$8*('Small Signal'!$B$5+'Small Signal'!$B$6)),'Small Signal'!$B$6+'Small Signal'!$B$5),IMPRODUCT(IMPOWER(M123,2),'Small Signal'!$B$57*'Small Signal'!$B$58*'Small Signal'!$B$8*'Small Signal'!$B$7*('Small Signal'!$B$5+'Small Signal'!$B$6)+('Small Signal'!$B$5+'Small Signal'!$B$6)*('Small Signal'!$B$9*'Small Signal'!$B$8*'Small Signal'!$B$58*'Small Signal'!$B$7)))),-1)</f>
        <v>-6.44321762621295+4.72831156076296i</v>
      </c>
      <c r="Y123" s="195">
        <f t="shared" si="39"/>
        <v>18.073298815891867</v>
      </c>
      <c r="Z123" s="195">
        <f t="shared" si="40"/>
        <v>146.14177709444317</v>
      </c>
      <c r="AA123" s="195" t="str">
        <f t="shared" si="41"/>
        <v>1.0014377691734+0.0422284527760129i</v>
      </c>
      <c r="AB123" s="195" t="str">
        <f t="shared" si="42"/>
        <v>2.3868566336152+8.28529778308632i</v>
      </c>
      <c r="AC123" s="192">
        <f t="shared" si="43"/>
        <v>18.712415074750083</v>
      </c>
      <c r="AD123" s="195">
        <f t="shared" si="44"/>
        <v>73.929187860767129</v>
      </c>
      <c r="AE123" s="195" t="str">
        <f t="shared" si="45"/>
        <v>5.97809605608497+11.8223824502907i</v>
      </c>
      <c r="AF123" s="192">
        <f t="shared" si="46"/>
        <v>22.442928572124806</v>
      </c>
      <c r="AG123" s="195">
        <f t="shared" si="47"/>
        <v>63.176139359820134</v>
      </c>
      <c r="AI123" s="195" t="str">
        <f t="shared" si="48"/>
        <v>0.002-0.0736981867358385i</v>
      </c>
      <c r="AJ123" s="195">
        <f t="shared" si="49"/>
        <v>0.22500000000000001</v>
      </c>
      <c r="AK123" s="195" t="str">
        <f t="shared" si="50"/>
        <v>0.0375-147.396373471677i</v>
      </c>
      <c r="AL123" s="195" t="str">
        <f t="shared" si="51"/>
        <v>0.0232274311956696-0.0654756680142453i</v>
      </c>
      <c r="AM123" s="195" t="str">
        <f t="shared" si="52"/>
        <v>0.898427274534098-0.00822075866861582i</v>
      </c>
      <c r="AN123" s="195" t="str">
        <f t="shared" si="53"/>
        <v>0.006+0.0934589493596239i</v>
      </c>
      <c r="AO123" s="195" t="str">
        <f t="shared" si="54"/>
        <v>0.328811695148026-1.02490216651554i</v>
      </c>
      <c r="AP123" s="195">
        <f t="shared" si="61"/>
        <v>0.63911625885821155</v>
      </c>
      <c r="AQ123" s="195">
        <f t="shared" si="62"/>
        <v>-72.21258923367607</v>
      </c>
      <c r="AS123" s="195" t="str">
        <f t="shared" si="55"/>
        <v>0.921869954255075-0.00865540287124664i</v>
      </c>
      <c r="AT123" s="195" t="str">
        <f t="shared" si="56"/>
        <v>0.329844725076295-1.02550245149478i</v>
      </c>
      <c r="AU123" s="195">
        <f t="shared" si="63"/>
        <v>0.64627488493981722</v>
      </c>
      <c r="AV123" s="195">
        <f t="shared" si="64"/>
        <v>-72.170025000035849</v>
      </c>
    </row>
    <row r="124" spans="6:48" x14ac:dyDescent="0.2">
      <c r="F124" s="195">
        <v>122</v>
      </c>
      <c r="G124" s="210">
        <f t="shared" si="33"/>
        <v>171.74258334397354</v>
      </c>
      <c r="H124" s="210">
        <f t="shared" si="34"/>
        <v>168.57881372500071</v>
      </c>
      <c r="I124" s="196">
        <f t="shared" si="35"/>
        <v>1</v>
      </c>
      <c r="J124" s="195">
        <f t="shared" si="57"/>
        <v>1</v>
      </c>
      <c r="K124" s="195">
        <f t="shared" si="58"/>
        <v>1</v>
      </c>
      <c r="L124" s="195">
        <f>10^('Small Signal'!F124/30)</f>
        <v>11659.144011798313</v>
      </c>
      <c r="M124" s="195" t="str">
        <f t="shared" si="36"/>
        <v>73256.562349222i</v>
      </c>
      <c r="N124" s="195">
        <f>IF(D$32=1, IF(AND('Small Signal'!$B$62&gt;=1,FCCM=0),V124+0,S124+0), 0)</f>
        <v>5.5551356449457516E-2</v>
      </c>
      <c r="O124" s="195">
        <f>IF(D$32=1, IF(AND('Small Signal'!$B$62&gt;=1,FCCM=0),W124,T124), 0)</f>
        <v>-74.054401475903973</v>
      </c>
      <c r="P124" s="195">
        <f>IF(AND('Small Signal'!$B$62&gt;=1,FCCM=0),AF124+0,AC124+0)</f>
        <v>17.925607807878105</v>
      </c>
      <c r="Q124" s="195">
        <f>IF(AND('Small Signal'!$B$62&gt;=1,FCCM=0),AG124,AD124)</f>
        <v>74.098715635447761</v>
      </c>
      <c r="R124" s="195" t="str">
        <f>IMDIV(IMSUM('Small Signal'!$B$2*'Small Signal'!$B$39*'Small Signal'!$B$63,IMPRODUCT(M124,'Small Signal'!$B$2*'Small Signal'!$B$39*'Small Signal'!$B$63*'Small Signal'!$B$14*'Small Signal'!$B$15)),IMSUM(IMPRODUCT('Small Signal'!$B$12*'Small Signal'!$B$14*('Small Signal'!$B$15+'Small Signal'!$B$39),IMPOWER(M124,2)),IMSUM(IMPRODUCT(M124,('Small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0.254887637950549-0.958916662619875i</v>
      </c>
      <c r="S124" s="195">
        <f t="shared" si="59"/>
        <v>5.5551356449457516E-2</v>
      </c>
      <c r="T124" s="195">
        <f t="shared" si="60"/>
        <v>-74.054401475903973</v>
      </c>
      <c r="U124" s="195" t="str">
        <f>IMDIV(IMSUM('Small Signal'!$B$75,IMPRODUCT(M124,'Small Signal'!$B$76)),IMSUM(IMPRODUCT('Small Signal'!$B$79,IMPOWER(M124,2)),IMSUM(IMPRODUCT(M124,'Small Signal'!$B$78),'Small Signal'!$B$77)))</f>
        <v>0.146673198604788-1.53964525576654i</v>
      </c>
      <c r="V124" s="195">
        <f t="shared" si="37"/>
        <v>3.7876490471224034</v>
      </c>
      <c r="W124" s="195">
        <f t="shared" si="38"/>
        <v>-84.558181113405027</v>
      </c>
      <c r="X124" s="195" t="str">
        <f>IMPRODUCT(IMDIV(IMSUM(IMPRODUCT(M124,'Small Signal'!$B$58*'Small Signal'!$B$6*'Small Signal'!$B$51*'Small Signal'!$B$7*'Small Signal'!$B$8),'Small Signal'!$B$58*'Small Signal'!$B$6*'Small Signal'!$B$51),IMSUM(IMSUM(IMPRODUCT(M124,('Small Signal'!$B$5+'Small Signal'!$B$6)*('Small Signal'!$B$57*'Small Signal'!$B$58)+'Small Signal'!$B$5*'Small Signal'!$B$58*('Small Signal'!$B$8+'Small Signal'!$B$9)+'Small Signal'!$B$6*'Small Signal'!$B$58*('Small Signal'!$B$8+'Small Signal'!$B$9)+'Small Signal'!$B$7*'Small Signal'!$B$8*('Small Signal'!$B$5+'Small Signal'!$B$6)),'Small Signal'!$B$6+'Small Signal'!$B$5),IMPRODUCT(IMPOWER(M124,2),'Small Signal'!$B$57*'Small Signal'!$B$58*'Small Signal'!$B$8*'Small Signal'!$B$7*('Small Signal'!$B$5+'Small Signal'!$B$6)+('Small Signal'!$B$5+'Small Signal'!$B$6)*('Small Signal'!$B$9*'Small Signal'!$B$8*'Small Signal'!$B$58*'Small Signal'!$B$7)))),-1)</f>
        <v>-6.43525739985365+4.41501918410632i</v>
      </c>
      <c r="Y124" s="195">
        <f t="shared" si="39"/>
        <v>17.870056451428653</v>
      </c>
      <c r="Z124" s="195">
        <f t="shared" si="40"/>
        <v>148.15311711135172</v>
      </c>
      <c r="AA124" s="195" t="str">
        <f t="shared" si="41"/>
        <v>1.00167599381044+0.0455884764699262i</v>
      </c>
      <c r="AB124" s="195" t="str">
        <f t="shared" si="42"/>
        <v>2.15774681384256+7.57418463640903i</v>
      </c>
      <c r="AC124" s="192">
        <f t="shared" si="43"/>
        <v>17.925607807878105</v>
      </c>
      <c r="AD124" s="195">
        <f t="shared" si="44"/>
        <v>74.098715635447761</v>
      </c>
      <c r="AE124" s="195" t="str">
        <f t="shared" si="45"/>
        <v>5.85368355424589+10.5555785109556i</v>
      </c>
      <c r="AF124" s="192">
        <f t="shared" si="46"/>
        <v>21.634173687706159</v>
      </c>
      <c r="AG124" s="195">
        <f t="shared" si="47"/>
        <v>60.989077349789717</v>
      </c>
      <c r="AI124" s="195" t="str">
        <f t="shared" si="48"/>
        <v>0.002-0.0682532709651929i</v>
      </c>
      <c r="AJ124" s="195">
        <f t="shared" si="49"/>
        <v>0.22500000000000001</v>
      </c>
      <c r="AK124" s="195" t="str">
        <f t="shared" si="50"/>
        <v>0.0375-136.506541930386i</v>
      </c>
      <c r="AL124" s="195" t="str">
        <f t="shared" si="51"/>
        <v>0.0204543530155869-0.0614716328241871i</v>
      </c>
      <c r="AM124" s="195" t="str">
        <f t="shared" si="52"/>
        <v>0.898414795454297-0.00887644773103144i</v>
      </c>
      <c r="AN124" s="195" t="str">
        <f t="shared" si="53"/>
        <v>0.006+0.100914652215765i</v>
      </c>
      <c r="AO124" s="195" t="str">
        <f t="shared" si="54"/>
        <v>0.276487183285793-0.967692186065659i</v>
      </c>
      <c r="AP124" s="195">
        <f t="shared" si="61"/>
        <v>5.5551356449457516E-2</v>
      </c>
      <c r="AQ124" s="195">
        <f t="shared" si="62"/>
        <v>-74.054401475903973</v>
      </c>
      <c r="AS124" s="195" t="str">
        <f t="shared" si="55"/>
        <v>0.92185647256423-0.00934575236334788i</v>
      </c>
      <c r="AT124" s="195" t="str">
        <f t="shared" si="56"/>
        <v>0.277720171993458-0.968148349748027i</v>
      </c>
      <c r="AU124" s="195">
        <f t="shared" si="63"/>
        <v>6.2262459555624754E-2</v>
      </c>
      <c r="AV124" s="195">
        <f t="shared" si="64"/>
        <v>-73.994088785300264</v>
      </c>
    </row>
    <row r="125" spans="6:48" x14ac:dyDescent="0.2">
      <c r="F125" s="195">
        <v>123</v>
      </c>
      <c r="G125" s="210">
        <f t="shared" si="33"/>
        <v>171.99190152035607</v>
      </c>
      <c r="H125" s="210">
        <f t="shared" si="34"/>
        <v>168.57881372500071</v>
      </c>
      <c r="I125" s="196">
        <f t="shared" si="35"/>
        <v>1</v>
      </c>
      <c r="J125" s="195">
        <f t="shared" si="57"/>
        <v>1</v>
      </c>
      <c r="K125" s="195">
        <f t="shared" si="58"/>
        <v>1</v>
      </c>
      <c r="L125" s="195">
        <f>10^('Small Signal'!F125/30)</f>
        <v>12589.254117941671</v>
      </c>
      <c r="M125" s="195" t="str">
        <f t="shared" si="36"/>
        <v>79100.6165022012i</v>
      </c>
      <c r="N125" s="195">
        <f>IF(D$32=1, IF(AND('Small Signal'!$B$62&gt;=1,FCCM=0),V125+0,S125+0), 0)</f>
        <v>-0.54014394916982444</v>
      </c>
      <c r="O125" s="195">
        <f>IF(D$32=1, IF(AND('Small Signal'!$B$62&gt;=1,FCCM=0),W125,T125), 0)</f>
        <v>-75.839566718043855</v>
      </c>
      <c r="P125" s="195">
        <f>IF(AND('Small Signal'!$B$62&gt;=1,FCCM=0),AF125+0,AC125+0)</f>
        <v>17.148209469147943</v>
      </c>
      <c r="Q125" s="195">
        <f>IF(AND('Small Signal'!$B$62&gt;=1,FCCM=0),AG125,AD125)</f>
        <v>74.266041178320705</v>
      </c>
      <c r="R125" s="195" t="str">
        <f>IMDIV(IMSUM('Small Signal'!$B$2*'Small Signal'!$B$39*'Small Signal'!$B$63,IMPRODUCT(M125,'Small Signal'!$B$2*'Small Signal'!$B$39*'Small Signal'!$B$63*'Small Signal'!$B$14*'Small Signal'!$B$15)),IMSUM(IMPRODUCT('Small Signal'!$B$12*'Small Signal'!$B$14*('Small Signal'!$B$15+'Small Signal'!$B$39),IMPOWER(M125,2)),IMSUM(IMPRODUCT(M125,('Small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0.204771226049025-0.903838406667399i</v>
      </c>
      <c r="S125" s="195">
        <f t="shared" si="59"/>
        <v>-0.54014394916982444</v>
      </c>
      <c r="T125" s="195">
        <f t="shared" si="60"/>
        <v>-75.839566718043855</v>
      </c>
      <c r="U125" s="195" t="str">
        <f>IMDIV(IMSUM('Small Signal'!$B$75,IMPRODUCT(M125,'Small Signal'!$B$76)),IMSUM(IMPRODUCT('Small Signal'!$B$79,IMPOWER(M125,2)),IMSUM(IMPRODUCT(M125,'Small Signal'!$B$78),'Small Signal'!$B$77)))</f>
        <v>0.0357555089231697-1.43506964043902i</v>
      </c>
      <c r="V125" s="195">
        <f t="shared" si="37"/>
        <v>3.14015472754595</v>
      </c>
      <c r="W125" s="195">
        <f t="shared" si="38"/>
        <v>-88.572741046600697</v>
      </c>
      <c r="X125" s="195" t="str">
        <f>IMPRODUCT(IMDIV(IMSUM(IMPRODUCT(M125,'Small Signal'!$B$58*'Small Signal'!$B$6*'Small Signal'!$B$51*'Small Signal'!$B$7*'Small Signal'!$B$8),'Small Signal'!$B$58*'Small Signal'!$B$6*'Small Signal'!$B$51),IMSUM(IMSUM(IMPRODUCT(M125,('Small Signal'!$B$5+'Small Signal'!$B$6)*('Small Signal'!$B$57*'Small Signal'!$B$58)+'Small Signal'!$B$5*'Small Signal'!$B$58*('Small Signal'!$B$8+'Small Signal'!$B$9)+'Small Signal'!$B$6*'Small Signal'!$B$58*('Small Signal'!$B$8+'Small Signal'!$B$9)+'Small Signal'!$B$7*'Small Signal'!$B$8*('Small Signal'!$B$5+'Small Signal'!$B$6)),'Small Signal'!$B$6+'Small Signal'!$B$5),IMPRODUCT(IMPOWER(M125,2),'Small Signal'!$B$57*'Small Signal'!$B$58*'Small Signal'!$B$8*'Small Signal'!$B$7*('Small Signal'!$B$5+'Small Signal'!$B$6)+('Small Signal'!$B$5+'Small Signal'!$B$6)*('Small Signal'!$B$9*'Small Signal'!$B$8*'Small Signal'!$B$58*'Small Signal'!$B$7)))),-1)</f>
        <v>-6.42799162283561+4.12771205859583i</v>
      </c>
      <c r="Y125" s="195">
        <f t="shared" si="39"/>
        <v>17.68835341831776</v>
      </c>
      <c r="Z125" s="195">
        <f t="shared" si="40"/>
        <v>150.10560789636455</v>
      </c>
      <c r="AA125" s="195" t="str">
        <f t="shared" si="41"/>
        <v>1.00195362782397+0.0492142835213564i</v>
      </c>
      <c r="AB125" s="195" t="str">
        <f t="shared" si="42"/>
        <v>1.95278163904958+6.93146902367402i</v>
      </c>
      <c r="AC125" s="192">
        <f t="shared" si="43"/>
        <v>17.148209469147943</v>
      </c>
      <c r="AD125" s="195">
        <f t="shared" si="44"/>
        <v>74.266041178320705</v>
      </c>
      <c r="AE125" s="195" t="str">
        <f t="shared" si="45"/>
        <v>5.69371814793657+9.37220407227113i</v>
      </c>
      <c r="AF125" s="192">
        <f t="shared" si="46"/>
        <v>20.801090492072341</v>
      </c>
      <c r="AG125" s="195">
        <f t="shared" si="47"/>
        <v>58.720854130414757</v>
      </c>
      <c r="AI125" s="195" t="str">
        <f t="shared" si="48"/>
        <v>0.002-0.0632106324969145i</v>
      </c>
      <c r="AJ125" s="195">
        <f t="shared" si="49"/>
        <v>0.22500000000000001</v>
      </c>
      <c r="AK125" s="195" t="str">
        <f t="shared" si="50"/>
        <v>0.0375-126.421264993829i</v>
      </c>
      <c r="AL125" s="195" t="str">
        <f t="shared" si="51"/>
        <v>0.0180144455212594-0.0576091200520882i</v>
      </c>
      <c r="AM125" s="195" t="str">
        <f t="shared" si="52"/>
        <v>0.89840024635315-0.00958441257534274i</v>
      </c>
      <c r="AN125" s="195" t="str">
        <f t="shared" si="53"/>
        <v>0.006+0.108965134977522i</v>
      </c>
      <c r="AO125" s="195" t="str">
        <f t="shared" si="54"/>
        <v>0.22988808794028-0.911154266731597i</v>
      </c>
      <c r="AP125" s="195">
        <f t="shared" si="61"/>
        <v>-0.54014394916982444</v>
      </c>
      <c r="AQ125" s="195">
        <f t="shared" si="62"/>
        <v>-75.839566718043855</v>
      </c>
      <c r="AS125" s="195" t="str">
        <f t="shared" si="55"/>
        <v>0.921840754564596-0.0100911392145552i</v>
      </c>
      <c r="AT125" s="195" t="str">
        <f t="shared" si="56"/>
        <v>0.231312764157108-0.911510163505983i</v>
      </c>
      <c r="AU125" s="195">
        <f t="shared" si="63"/>
        <v>-0.5337269012855389</v>
      </c>
      <c r="AV125" s="195">
        <f t="shared" si="64"/>
        <v>-75.760707750634424</v>
      </c>
    </row>
    <row r="126" spans="6:48" x14ac:dyDescent="0.2">
      <c r="F126" s="195">
        <v>124</v>
      </c>
      <c r="G126" s="210">
        <f t="shared" si="33"/>
        <v>172.26032252987704</v>
      </c>
      <c r="H126" s="210">
        <f t="shared" si="34"/>
        <v>168.57881372500071</v>
      </c>
      <c r="I126" s="196">
        <f t="shared" si="35"/>
        <v>1</v>
      </c>
      <c r="J126" s="195">
        <f t="shared" si="57"/>
        <v>1</v>
      </c>
      <c r="K126" s="195">
        <f t="shared" si="58"/>
        <v>1</v>
      </c>
      <c r="L126" s="195">
        <f>10^('Small Signal'!F126/30)</f>
        <v>13593.563908785283</v>
      </c>
      <c r="M126" s="195" t="str">
        <f t="shared" si="36"/>
        <v>85410.8810238864i</v>
      </c>
      <c r="N126" s="195">
        <f>IF(D$32=1, IF(AND('Small Signal'!$B$62&gt;=1,FCCM=0),V126+0,S126+0), 0)</f>
        <v>-1.1468844022778144</v>
      </c>
      <c r="O126" s="195">
        <f>IF(D$32=1, IF(AND('Small Signal'!$B$62&gt;=1,FCCM=0),W126,T126), 0)</f>
        <v>-77.571506231304255</v>
      </c>
      <c r="P126" s="195">
        <f>IF(AND('Small Signal'!$B$62&gt;=1,FCCM=0),AF126+0,AC126+0)</f>
        <v>16.379971095279416</v>
      </c>
      <c r="Q126" s="195">
        <f>IF(AND('Small Signal'!$B$62&gt;=1,FCCM=0),AG126,AD126)</f>
        <v>74.420592821882138</v>
      </c>
      <c r="R126" s="195" t="str">
        <f>IMDIV(IMSUM('Small Signal'!$B$2*'Small Signal'!$B$39*'Small Signal'!$B$63,IMPRODUCT(M126,'Small Signal'!$B$2*'Small Signal'!$B$39*'Small Signal'!$B$63*'Small Signal'!$B$14*'Small Signal'!$B$15)),IMSUM(IMPRODUCT('Small Signal'!$B$12*'Small Signal'!$B$14*('Small Signal'!$B$15+'Small Signal'!$B$39),IMPOWER(M126,2)),IMSUM(IMPRODUCT(M126,('Small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0.160217936122815-0.849166032920757i</v>
      </c>
      <c r="S126" s="195">
        <f t="shared" si="59"/>
        <v>-1.1468844022778144</v>
      </c>
      <c r="T126" s="195">
        <f t="shared" si="60"/>
        <v>-77.571506231304255</v>
      </c>
      <c r="U126" s="195" t="str">
        <f>IMDIV(IMSUM('Small Signal'!$B$75,IMPRODUCT(M126,'Small Signal'!$B$76)),IMSUM(IMPRODUCT('Small Signal'!$B$79,IMPOWER(M126,2)),IMSUM(IMPRODUCT(M126,'Small Signal'!$B$78),'Small Signal'!$B$77)))</f>
        <v>-0.0595454090870153-1.32410300359761i</v>
      </c>
      <c r="V126" s="195">
        <f t="shared" si="37"/>
        <v>2.4472094331908285</v>
      </c>
      <c r="W126" s="195">
        <f t="shared" si="38"/>
        <v>-92.574877891392603</v>
      </c>
      <c r="X126" s="195" t="str">
        <f>IMPRODUCT(IMDIV(IMSUM(IMPRODUCT(M126,'Small Signal'!$B$58*'Small Signal'!$B$6*'Small Signal'!$B$51*'Small Signal'!$B$7*'Small Signal'!$B$8),'Small Signal'!$B$58*'Small Signal'!$B$6*'Small Signal'!$B$51),IMSUM(IMSUM(IMPRODUCT(M126,('Small Signal'!$B$5+'Small Signal'!$B$6)*('Small Signal'!$B$57*'Small Signal'!$B$58)+'Small Signal'!$B$5*'Small Signal'!$B$58*('Small Signal'!$B$8+'Small Signal'!$B$9)+'Small Signal'!$B$6*'Small Signal'!$B$58*('Small Signal'!$B$8+'Small Signal'!$B$9)+'Small Signal'!$B$7*'Small Signal'!$B$8*('Small Signal'!$B$5+'Small Signal'!$B$6)),'Small Signal'!$B$6+'Small Signal'!$B$5),IMPRODUCT(IMPOWER(M126,2),'Small Signal'!$B$57*'Small Signal'!$B$58*'Small Signal'!$B$8*'Small Signal'!$B$7*('Small Signal'!$B$5+'Small Signal'!$B$6)+('Small Signal'!$B$5+'Small Signal'!$B$6)*('Small Signal'!$B$9*'Small Signal'!$B$8*'Small Signal'!$B$58*'Small Signal'!$B$7)))),-1)</f>
        <v>-6.4212492153144+3.86469562843857i</v>
      </c>
      <c r="Y126" s="195">
        <f t="shared" si="39"/>
        <v>17.526855497557239</v>
      </c>
      <c r="Z126" s="195">
        <f t="shared" si="40"/>
        <v>151.99209905318639</v>
      </c>
      <c r="AA126" s="195" t="str">
        <f t="shared" si="41"/>
        <v>1.00227716838996+0.0531264930130382i</v>
      </c>
      <c r="AB126" s="195" t="str">
        <f t="shared" si="42"/>
        <v>1.77036137068153+6.34953178151931i</v>
      </c>
      <c r="AC126" s="192">
        <f t="shared" si="43"/>
        <v>16.379971095279416</v>
      </c>
      <c r="AD126" s="195">
        <f t="shared" si="44"/>
        <v>74.420592821882138</v>
      </c>
      <c r="AE126" s="195" t="str">
        <f t="shared" si="45"/>
        <v>5.49961100098164+8.27227049065442i</v>
      </c>
      <c r="AF126" s="192">
        <f t="shared" si="46"/>
        <v>19.94212329549141</v>
      </c>
      <c r="AG126" s="195">
        <f t="shared" si="47"/>
        <v>56.38305259857249</v>
      </c>
      <c r="AI126" s="195" t="str">
        <f t="shared" si="48"/>
        <v>0.002-0.0585405505722587i</v>
      </c>
      <c r="AJ126" s="195">
        <f t="shared" si="49"/>
        <v>0.22500000000000001</v>
      </c>
      <c r="AK126" s="195" t="str">
        <f t="shared" si="50"/>
        <v>0.0375-117.081101144518i</v>
      </c>
      <c r="AL126" s="195" t="str">
        <f t="shared" si="51"/>
        <v>0.0158748946071443-0.0539043830058437i</v>
      </c>
      <c r="AM126" s="195" t="str">
        <f t="shared" si="52"/>
        <v>0.898383283941569-0.0103488152479519i</v>
      </c>
      <c r="AN126" s="195" t="str">
        <f t="shared" si="53"/>
        <v>0.006+0.117657846308415i</v>
      </c>
      <c r="AO126" s="195" t="str">
        <f t="shared" si="54"/>
        <v>0.188599459661001-0.855770080314329i</v>
      </c>
      <c r="AP126" s="195">
        <f t="shared" si="61"/>
        <v>-1.1468844022778144</v>
      </c>
      <c r="AQ126" s="195">
        <f t="shared" si="62"/>
        <v>-77.571506231304255</v>
      </c>
      <c r="AS126" s="195" t="str">
        <f t="shared" si="55"/>
        <v>0.921822429399218-0.0108959448799383i</v>
      </c>
      <c r="AT126" s="195" t="str">
        <f t="shared" si="56"/>
        <v>0.190203446768058-0.856064250718779i</v>
      </c>
      <c r="AU126" s="195">
        <f t="shared" si="63"/>
        <v>-1.1406047200989833</v>
      </c>
      <c r="AV126" s="195">
        <f t="shared" si="64"/>
        <v>-77.473300442966021</v>
      </c>
    </row>
    <row r="127" spans="6:48" x14ac:dyDescent="0.2">
      <c r="F127" s="195">
        <v>125</v>
      </c>
      <c r="G127" s="210">
        <f t="shared" si="33"/>
        <v>172.54917073720247</v>
      </c>
      <c r="H127" s="210">
        <f t="shared" si="34"/>
        <v>168.57881372500071</v>
      </c>
      <c r="I127" s="196">
        <f t="shared" si="35"/>
        <v>1</v>
      </c>
      <c r="J127" s="195">
        <f t="shared" si="57"/>
        <v>1</v>
      </c>
      <c r="K127" s="195">
        <f t="shared" si="58"/>
        <v>1</v>
      </c>
      <c r="L127" s="195">
        <f>10^('Small Signal'!F127/30)</f>
        <v>14677.992676220729</v>
      </c>
      <c r="M127" s="195" t="str">
        <f t="shared" si="36"/>
        <v>92224.5479221197i</v>
      </c>
      <c r="N127" s="195">
        <f>IF(D$32=1, IF(AND('Small Signal'!$B$62&gt;=1,FCCM=0),V127+0,S127+0), 0)</f>
        <v>-1.7637059835584785</v>
      </c>
      <c r="O127" s="195">
        <f>IF(D$32=1, IF(AND('Small Signal'!$B$62&gt;=1,FCCM=0),W127,T127), 0)</f>
        <v>-79.254399717497833</v>
      </c>
      <c r="P127" s="195">
        <f>IF(AND('Small Signal'!$B$62&gt;=1,FCCM=0),AF127+0,AC127+0)</f>
        <v>15.620457529644318</v>
      </c>
      <c r="Q127" s="195">
        <f>IF(AND('Small Signal'!$B$62&gt;=1,FCCM=0),AG127,AD127)</f>
        <v>74.5525460175798</v>
      </c>
      <c r="R127" s="195" t="str">
        <f>IMDIV(IMSUM('Small Signal'!$B$2*'Small Signal'!$B$39*'Small Signal'!$B$63,IMPRODUCT(M127,'Small Signal'!$B$2*'Small Signal'!$B$39*'Small Signal'!$B$63*'Small Signal'!$B$14*'Small Signal'!$B$15)),IMSUM(IMPRODUCT('Small Signal'!$B$12*'Small Signal'!$B$14*('Small Signal'!$B$15+'Small Signal'!$B$39),IMPOWER(M127,2)),IMSUM(IMPRODUCT(M127,('Small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0.120859461189307-0.795379586319943i</v>
      </c>
      <c r="S127" s="195">
        <f t="shared" si="59"/>
        <v>-1.7637059835584785</v>
      </c>
      <c r="T127" s="195">
        <f t="shared" si="60"/>
        <v>-79.254399717497833</v>
      </c>
      <c r="U127" s="195" t="str">
        <f>IMDIV(IMSUM('Small Signal'!$B$75,IMPRODUCT(M127,'Small Signal'!$B$76)),IMSUM(IMPRODUCT('Small Signal'!$B$79,IMPOWER(M127,2)),IMSUM(IMPRODUCT(M127,'Small Signal'!$B$78),'Small Signal'!$B$77)))</f>
        <v>-0.138763846282559-1.20951899822739i</v>
      </c>
      <c r="V127" s="195">
        <f t="shared" si="37"/>
        <v>1.7090435121554972</v>
      </c>
      <c r="W127" s="195">
        <f t="shared" si="38"/>
        <v>-96.544728421543553</v>
      </c>
      <c r="X127" s="195" t="str">
        <f>IMPRODUCT(IMDIV(IMSUM(IMPRODUCT(M127,'Small Signal'!$B$58*'Small Signal'!$B$6*'Small Signal'!$B$51*'Small Signal'!$B$7*'Small Signal'!$B$8),'Small Signal'!$B$58*'Small Signal'!$B$6*'Small Signal'!$B$51),IMSUM(IMSUM(IMPRODUCT(M127,('Small Signal'!$B$5+'Small Signal'!$B$6)*('Small Signal'!$B$57*'Small Signal'!$B$58)+'Small Signal'!$B$5*'Small Signal'!$B$58*('Small Signal'!$B$8+'Small Signal'!$B$9)+'Small Signal'!$B$6*'Small Signal'!$B$58*('Small Signal'!$B$8+'Small Signal'!$B$9)+'Small Signal'!$B$7*'Small Signal'!$B$8*('Small Signal'!$B$5+'Small Signal'!$B$6)),'Small Signal'!$B$6+'Small Signal'!$B$5),IMPRODUCT(IMPOWER(M127,2),'Small Signal'!$B$57*'Small Signal'!$B$58*'Small Signal'!$B$8*'Small Signal'!$B$7*('Small Signal'!$B$5+'Small Signal'!$B$6)+('Small Signal'!$B$5+'Small Signal'!$B$6)*('Small Signal'!$B$9*'Small Signal'!$B$8*'Small Signal'!$B$58*'Small Signal'!$B$7)))),-1)</f>
        <v>-6.41487158012934+3.6244165156119i</v>
      </c>
      <c r="Y127" s="195">
        <f t="shared" si="39"/>
        <v>17.384163513202793</v>
      </c>
      <c r="Z127" s="195">
        <f t="shared" si="40"/>
        <v>153.80694573507756</v>
      </c>
      <c r="AA127" s="195" t="str">
        <f t="shared" si="41"/>
        <v>1.00265417584154+0.0573472187487075i</v>
      </c>
      <c r="AB127" s="195" t="str">
        <f t="shared" si="42"/>
        <v>1.6087291944787+5.82161729763027i</v>
      </c>
      <c r="AC127" s="192">
        <f t="shared" si="43"/>
        <v>15.620457529644318</v>
      </c>
      <c r="AD127" s="195">
        <f t="shared" si="44"/>
        <v>74.5525460175798</v>
      </c>
      <c r="AE127" s="195" t="str">
        <f t="shared" si="45"/>
        <v>5.27395288698914+7.25597107111906i</v>
      </c>
      <c r="AF127" s="192">
        <f t="shared" si="46"/>
        <v>19.055999733644839</v>
      </c>
      <c r="AG127" s="195">
        <f t="shared" si="47"/>
        <v>53.988728024356483</v>
      </c>
      <c r="AI127" s="195" t="str">
        <f t="shared" si="48"/>
        <v>0.002-0.0542155002399397i</v>
      </c>
      <c r="AJ127" s="195">
        <f t="shared" si="49"/>
        <v>0.22500000000000001</v>
      </c>
      <c r="AK127" s="195" t="str">
        <f t="shared" si="50"/>
        <v>0.0375-108.431000479879i</v>
      </c>
      <c r="AL127" s="195" t="str">
        <f t="shared" si="51"/>
        <v>0.0140042571996192-0.050368417621507i</v>
      </c>
      <c r="AM127" s="195" t="str">
        <f t="shared" si="52"/>
        <v>0.898363508030359-0.011174147684817i</v>
      </c>
      <c r="AN127" s="195" t="str">
        <f t="shared" si="53"/>
        <v>0.006+0.127044020096798i</v>
      </c>
      <c r="AO127" s="195" t="str">
        <f t="shared" si="54"/>
        <v>0.152185688155738-0.801921142749413i</v>
      </c>
      <c r="AP127" s="195">
        <f t="shared" si="61"/>
        <v>-1.7637059835584785</v>
      </c>
      <c r="AQ127" s="195">
        <f t="shared" si="62"/>
        <v>-79.254399717497833</v>
      </c>
      <c r="AS127" s="195" t="str">
        <f t="shared" si="55"/>
        <v>0.921801064744894-0.0117648979755021i</v>
      </c>
      <c r="AT127" s="195" t="str">
        <f t="shared" si="56"/>
        <v>0.153953724404476-0.802186971671328i</v>
      </c>
      <c r="AU127" s="195">
        <f t="shared" si="63"/>
        <v>-1.7574026074345372</v>
      </c>
      <c r="AV127" s="195">
        <f t="shared" si="64"/>
        <v>-79.136033142195103</v>
      </c>
    </row>
    <row r="128" spans="6:48" x14ac:dyDescent="0.2">
      <c r="F128" s="195">
        <v>126</v>
      </c>
      <c r="G128" s="210">
        <f t="shared" si="33"/>
        <v>172.85982636290976</v>
      </c>
      <c r="H128" s="210">
        <f t="shared" si="34"/>
        <v>168.57881372500071</v>
      </c>
      <c r="I128" s="196">
        <f t="shared" si="35"/>
        <v>1</v>
      </c>
      <c r="J128" s="195">
        <f t="shared" si="57"/>
        <v>1</v>
      </c>
      <c r="K128" s="195">
        <f t="shared" si="58"/>
        <v>1</v>
      </c>
      <c r="L128" s="195">
        <f>10^('Small Signal'!F128/30)</f>
        <v>15848.931924611146</v>
      </c>
      <c r="M128" s="195" t="str">
        <f t="shared" si="36"/>
        <v>99581.7762032062i</v>
      </c>
      <c r="N128" s="195">
        <f>IF(D$32=1, IF(AND('Small Signal'!$B$62&gt;=1,FCCM=0),V128+0,S128+0), 0)</f>
        <v>-2.3897722029559709</v>
      </c>
      <c r="O128" s="195">
        <f>IF(D$32=1, IF(AND('Small Signal'!$B$62&gt;=1,FCCM=0),W128,T128), 0)</f>
        <v>-80.893040932921849</v>
      </c>
      <c r="P128" s="195">
        <f>IF(AND('Small Signal'!$B$62&gt;=1,FCCM=0),AF128+0,AC128+0)</f>
        <v>14.869085118647828</v>
      </c>
      <c r="Q128" s="195">
        <f>IF(AND('Small Signal'!$B$62&gt;=1,FCCM=0),AG128,AD128)</f>
        <v>74.652923757845514</v>
      </c>
      <c r="R128" s="195" t="str">
        <f>IMDIV(IMSUM('Small Signal'!$B$2*'Small Signal'!$B$39*'Small Signal'!$B$63,IMPRODUCT(M128,'Small Signal'!$B$2*'Small Signal'!$B$39*'Small Signal'!$B$63*'Small Signal'!$B$14*'Small Signal'!$B$15)),IMSUM(IMPRODUCT('Small Signal'!$B$12*'Small Signal'!$B$14*('Small Signal'!$B$15+'Small Signal'!$B$39),IMPOWER(M128,2)),IMSUM(IMPRODUCT(M128,('Small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0.0863040515417856-0.742864563785803i</v>
      </c>
      <c r="S128" s="195">
        <f t="shared" si="59"/>
        <v>-2.3897722029559709</v>
      </c>
      <c r="T128" s="195">
        <f t="shared" si="60"/>
        <v>-80.893040932921849</v>
      </c>
      <c r="U128" s="195" t="str">
        <f>IMDIV(IMSUM('Small Signal'!$B$75,IMPRODUCT(M128,'Small Signal'!$B$76)),IMSUM(IMPRODUCT('Small Signal'!$B$79,IMPOWER(M128,2)),IMSUM(IMPRODUCT(M128,'Small Signal'!$B$78),'Small Signal'!$B$77)))</f>
        <v>-0.202030829381737-1.0940337347363i</v>
      </c>
      <c r="V128" s="195">
        <f t="shared" si="37"/>
        <v>0.92624608245588214</v>
      </c>
      <c r="W128" s="195">
        <f t="shared" si="38"/>
        <v>-100.46271331480065</v>
      </c>
      <c r="X128" s="195" t="str">
        <f>IMPRODUCT(IMDIV(IMSUM(IMPRODUCT(M128,'Small Signal'!$B$58*'Small Signal'!$B$6*'Small Signal'!$B$51*'Small Signal'!$B$7*'Small Signal'!$B$8),'Small Signal'!$B$58*'Small Signal'!$B$6*'Small Signal'!$B$51),IMSUM(IMSUM(IMPRODUCT(M128,('Small Signal'!$B$5+'Small Signal'!$B$6)*('Small Signal'!$B$57*'Small Signal'!$B$58)+'Small Signal'!$B$5*'Small Signal'!$B$58*('Small Signal'!$B$8+'Small Signal'!$B$9)+'Small Signal'!$B$6*'Small Signal'!$B$58*('Small Signal'!$B$8+'Small Signal'!$B$9)+'Small Signal'!$B$7*'Small Signal'!$B$8*('Small Signal'!$B$5+'Small Signal'!$B$6)),'Small Signal'!$B$6+'Small Signal'!$B$5),IMPRODUCT(IMPOWER(M128,2),'Small Signal'!$B$57*'Small Signal'!$B$58*'Small Signal'!$B$8*'Small Signal'!$B$7*('Small Signal'!$B$5+'Small Signal'!$B$6)+('Small Signal'!$B$5+'Small Signal'!$B$6)*('Small Signal'!$B$9*'Small Signal'!$B$8*'Small Signal'!$B$58*'Small Signal'!$B$7)))),-1)</f>
        <v>-6.40870891409492+3.40545320033541i</v>
      </c>
      <c r="Y128" s="195">
        <f t="shared" si="39"/>
        <v>17.258857321603795</v>
      </c>
      <c r="Z128" s="195">
        <f t="shared" si="40"/>
        <v>155.54596469076742</v>
      </c>
      <c r="AA128" s="195" t="str">
        <f t="shared" si="41"/>
        <v>1.00309344477329+0.0619001500766195i</v>
      </c>
      <c r="AB128" s="195" t="str">
        <f t="shared" si="42"/>
        <v>1.46605933896958+5.34176238724529i</v>
      </c>
      <c r="AC128" s="192">
        <f t="shared" si="43"/>
        <v>14.869085118647828</v>
      </c>
      <c r="AD128" s="195">
        <f t="shared" si="44"/>
        <v>74.652923757845514</v>
      </c>
      <c r="AE128" s="195" t="str">
        <f t="shared" si="45"/>
        <v>5.02043746041336+6.32333721364063i</v>
      </c>
      <c r="AF128" s="192">
        <f t="shared" si="46"/>
        <v>18.141768893082503</v>
      </c>
      <c r="AG128" s="195">
        <f t="shared" si="47"/>
        <v>51.552049223875201</v>
      </c>
      <c r="AI128" s="195" t="str">
        <f t="shared" si="48"/>
        <v>0.002-0.0502099901270794i</v>
      </c>
      <c r="AJ128" s="195">
        <f t="shared" si="49"/>
        <v>0.22500000000000001</v>
      </c>
      <c r="AK128" s="195" t="str">
        <f t="shared" si="50"/>
        <v>0.0375-100.419980254159i</v>
      </c>
      <c r="AL128" s="195" t="str">
        <f t="shared" si="51"/>
        <v>0.0123729517552481-0.0470077905919208i</v>
      </c>
      <c r="AM128" s="195" t="str">
        <f t="shared" si="52"/>
        <v>0.898340452109962-0.0120652574752434i</v>
      </c>
      <c r="AN128" s="195" t="str">
        <f t="shared" si="53"/>
        <v>0.006+0.137178977422784i</v>
      </c>
      <c r="AO128" s="195" t="str">
        <f t="shared" si="54"/>
        <v>0.120207601789475-0.749897892604104i</v>
      </c>
      <c r="AP128" s="195">
        <f t="shared" si="61"/>
        <v>-2.3897722029559709</v>
      </c>
      <c r="AQ128" s="195">
        <f t="shared" si="62"/>
        <v>-80.893040932921849</v>
      </c>
      <c r="AS128" s="195" t="str">
        <f t="shared" si="55"/>
        <v>0.921776156637119-0.0127031013598192i</v>
      </c>
      <c r="AT128" s="195" t="str">
        <f t="shared" si="56"/>
        <v>0.12212253274621-0.750163946308642i</v>
      </c>
      <c r="AU128" s="195">
        <f t="shared" si="63"/>
        <v>-2.3832780983497202</v>
      </c>
      <c r="AV128" s="195">
        <f t="shared" si="64"/>
        <v>-80.75367738863153</v>
      </c>
    </row>
    <row r="129" spans="6:48" x14ac:dyDescent="0.2">
      <c r="F129" s="195">
        <v>127</v>
      </c>
      <c r="G129" s="210">
        <f t="shared" si="33"/>
        <v>173.19371789789568</v>
      </c>
      <c r="H129" s="210">
        <f t="shared" si="34"/>
        <v>168.57881372500071</v>
      </c>
      <c r="I129" s="196">
        <f t="shared" si="35"/>
        <v>1</v>
      </c>
      <c r="J129" s="195">
        <f t="shared" si="57"/>
        <v>1</v>
      </c>
      <c r="K129" s="195">
        <f t="shared" si="58"/>
        <v>1</v>
      </c>
      <c r="L129" s="195">
        <f>10^('Small Signal'!F129/30)</f>
        <v>17113.283041617826</v>
      </c>
      <c r="M129" s="195" t="str">
        <f t="shared" si="36"/>
        <v>107525.928564699i</v>
      </c>
      <c r="N129" s="195">
        <f>IF(D$32=1, IF(AND('Small Signal'!$B$62&gt;=1,FCCM=0),V129+0,S129+0), 0)</f>
        <v>-3.0243774213824408</v>
      </c>
      <c r="O129" s="195">
        <f>IF(D$32=1, IF(AND('Small Signal'!$B$62&gt;=1,FCCM=0),W129,T129), 0)</f>
        <v>-82.492705351586835</v>
      </c>
      <c r="P129" s="195">
        <f>IF(AND('Small Signal'!$B$62&gt;=1,FCCM=0),AF129+0,AC129+0)</f>
        <v>14.125157373931682</v>
      </c>
      <c r="Q129" s="195">
        <f>IF(AND('Small Signal'!$B$62&gt;=1,FCCM=0),AG129,AD129)</f>
        <v>74.713632309654244</v>
      </c>
      <c r="R129" s="195" t="str">
        <f>IMDIV(IMSUM('Small Signal'!$B$2*'Small Signal'!$B$39*'Small Signal'!$B$63,IMPRODUCT(M129,'Small Signal'!$B$2*'Small Signal'!$B$39*'Small Signal'!$B$63*'Small Signal'!$B$14*'Small Signal'!$B$15)),IMSUM(IMPRODUCT('Small Signal'!$B$12*'Small Signal'!$B$14*('Small Signal'!$B$15+'Small Signal'!$B$39),IMPOWER(M129,2)),IMSUM(IMPRODUCT(M129,('Small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0.0561536165354175-0.691920161571267i</v>
      </c>
      <c r="S129" s="195">
        <f t="shared" si="59"/>
        <v>-3.0243774213824408</v>
      </c>
      <c r="T129" s="195">
        <f t="shared" si="60"/>
        <v>-82.492705351586835</v>
      </c>
      <c r="U129" s="195" t="str">
        <f>IMDIV(IMSUM('Small Signal'!$B$75,IMPRODUCT(M129,'Small Signal'!$B$76)),IMSUM(IMPRODUCT('Small Signal'!$B$79,IMPOWER(M129,2)),IMSUM(IMPRODUCT(M129,'Small Signal'!$B$78),'Small Signal'!$B$77)))</f>
        <v>-0.250020533083035-0.980165713979676i</v>
      </c>
      <c r="V129" s="195">
        <f t="shared" si="37"/>
        <v>9.9754266943346132E-2</v>
      </c>
      <c r="W129" s="195">
        <f t="shared" si="38"/>
        <v>-104.30984803923396</v>
      </c>
      <c r="X129" s="195" t="str">
        <f>IMPRODUCT(IMDIV(IMSUM(IMPRODUCT(M129,'Small Signal'!$B$58*'Small Signal'!$B$6*'Small Signal'!$B$51*'Small Signal'!$B$7*'Small Signal'!$B$8),'Small Signal'!$B$58*'Small Signal'!$B$6*'Small Signal'!$B$51),IMSUM(IMSUM(IMPRODUCT(M129,('Small Signal'!$B$5+'Small Signal'!$B$6)*('Small Signal'!$B$57*'Small Signal'!$B$58)+'Small Signal'!$B$5*'Small Signal'!$B$58*('Small Signal'!$B$8+'Small Signal'!$B$9)+'Small Signal'!$B$6*'Small Signal'!$B$58*('Small Signal'!$B$8+'Small Signal'!$B$9)+'Small Signal'!$B$7*'Small Signal'!$B$8*('Small Signal'!$B$5+'Small Signal'!$B$6)),'Small Signal'!$B$6+'Small Signal'!$B$5),IMPRODUCT(IMPOWER(M129,2),'Small Signal'!$B$57*'Small Signal'!$B$58*'Small Signal'!$B$8*'Small Signal'!$B$7*('Small Signal'!$B$5+'Small Signal'!$B$6)+('Small Signal'!$B$5+'Small Signal'!$B$6)*('Small Signal'!$B$9*'Small Signal'!$B$8*'Small Signal'!$B$58*'Small Signal'!$B$7)))),-1)</f>
        <v>-6.4026167438673+3.2065073667624i</v>
      </c>
      <c r="Y129" s="195">
        <f t="shared" si="39"/>
        <v>17.149534795314125</v>
      </c>
      <c r="Z129" s="195">
        <f t="shared" si="40"/>
        <v>157.20633766124107</v>
      </c>
      <c r="AA129" s="195" t="str">
        <f t="shared" si="41"/>
        <v>1.00360520165459+0.0668106294291008i</v>
      </c>
      <c r="AB129" s="195" t="str">
        <f t="shared" si="42"/>
        <v>1.34052529706851+4.90471988435319i</v>
      </c>
      <c r="AC129" s="192">
        <f t="shared" si="43"/>
        <v>14.125157373931682</v>
      </c>
      <c r="AD129" s="195">
        <f t="shared" si="44"/>
        <v>74.713632309654244</v>
      </c>
      <c r="AE129" s="195" t="str">
        <f t="shared" si="45"/>
        <v>4.74369423395183+5.47393273091831i</v>
      </c>
      <c r="AF129" s="192">
        <f t="shared" si="46"/>
        <v>17.198827106207354</v>
      </c>
      <c r="AG129" s="195">
        <f t="shared" si="47"/>
        <v>49.087893034420702</v>
      </c>
      <c r="AI129" s="195" t="str">
        <f t="shared" si="48"/>
        <v>0.002-0.0465004121958498i</v>
      </c>
      <c r="AJ129" s="195">
        <f t="shared" si="49"/>
        <v>0.22500000000000001</v>
      </c>
      <c r="AK129" s="195" t="str">
        <f t="shared" si="50"/>
        <v>0.0375-93.0008243916995i</v>
      </c>
      <c r="AL129" s="195" t="str">
        <f t="shared" si="51"/>
        <v>0.010953557837641-0.0438254178375374i</v>
      </c>
      <c r="AM129" s="195" t="str">
        <f t="shared" si="52"/>
        <v>0.898313572374533-0.0130273755379725i</v>
      </c>
      <c r="AN129" s="195" t="str">
        <f t="shared" si="53"/>
        <v>0.006+0.148122452614636i</v>
      </c>
      <c r="AO129" s="195" t="str">
        <f t="shared" si="54"/>
        <v>0.0922356004292127-0.699910344196837i</v>
      </c>
      <c r="AP129" s="195">
        <f t="shared" si="61"/>
        <v>-3.0243774213824408</v>
      </c>
      <c r="AQ129" s="195">
        <f t="shared" si="62"/>
        <v>-82.492705351586835</v>
      </c>
      <c r="AS129" s="195" t="str">
        <f t="shared" si="55"/>
        <v>0.921747117615125-0.0137160612175955i</v>
      </c>
      <c r="AT129" s="195" t="str">
        <f t="shared" si="56"/>
        <v>0.094279149146422-0.700200809631993i</v>
      </c>
      <c r="AU129" s="195">
        <f t="shared" si="63"/>
        <v>-3.0175175690430094</v>
      </c>
      <c r="AV129" s="195">
        <f t="shared" si="64"/>
        <v>-82.331479992610667</v>
      </c>
    </row>
    <row r="130" spans="6:48" x14ac:dyDescent="0.2">
      <c r="F130" s="195">
        <v>128</v>
      </c>
      <c r="G130" s="210">
        <f t="shared" ref="G130:G193" si="65">DEGREES((ATAN(10)+ATAN(L130/(fsw/6))-ATAN(L130/(fsw/6*Vo_ss/Vref))-ATAN(MAX(1/10,L130/(fsw/2)))))+90</f>
        <v>173.55231117501717</v>
      </c>
      <c r="H130" s="210">
        <f t="shared" ref="H130:H193" si="66">DEGREES((ATAN(10)-ATAN(MAX(1/10,L130/(fsw/2)))))+90</f>
        <v>168.57881372500071</v>
      </c>
      <c r="I130" s="196">
        <f t="shared" ref="I130:I193" si="67">IF(fz_cff&gt;fsw/4,IF(AV130+H130&gt;65,1,0),IF(AV130+G130&gt;65,1,0))</f>
        <v>1</v>
      </c>
      <c r="J130" s="195">
        <f t="shared" si="57"/>
        <v>1</v>
      </c>
      <c r="K130" s="195">
        <f t="shared" si="58"/>
        <v>1</v>
      </c>
      <c r="L130" s="195">
        <f>10^('Small Signal'!F130/30)</f>
        <v>18478.497974222933</v>
      </c>
      <c r="M130" s="195" t="str">
        <f t="shared" ref="M130:M193" si="68">COMPLEX(0,L130*2*PI())</f>
        <v>116103.826970385i</v>
      </c>
      <c r="N130" s="195">
        <f>IF(D$32=1, IF(AND('Small Signal'!$B$62&gt;=1,FCCM=0),V130+0,S130+0), 0)</f>
        <v>-3.6669480710961806</v>
      </c>
      <c r="O130" s="195">
        <f>IF(D$32=1, IF(AND('Small Signal'!$B$62&gt;=1,FCCM=0),W130,T130), 0)</f>
        <v>-84.059030655321621</v>
      </c>
      <c r="P130" s="195">
        <f>IF(AND('Small Signal'!$B$62&gt;=1,FCCM=0),AF130+0,AC130+0)</f>
        <v>13.387896630076233</v>
      </c>
      <c r="Q130" s="195">
        <f>IF(AND('Small Signal'!$B$62&gt;=1,FCCM=0),AG130,AD130)</f>
        <v>74.727445088220009</v>
      </c>
      <c r="R130" s="195" t="str">
        <f>IMDIV(IMSUM('Small Signal'!$B$2*'Small Signal'!$B$39*'Small Signal'!$B$63,IMPRODUCT(M130,'Small Signal'!$B$2*'Small Signal'!$B$39*'Small Signal'!$B$63*'Small Signal'!$B$14*'Small Signal'!$B$15)),IMSUM(IMPRODUCT('Small Signal'!$B$12*'Small Signal'!$B$14*('Small Signal'!$B$15+'Small Signal'!$B$39),IMPOWER(M130,2)),IMSUM(IMPRODUCT(M130,('Small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0.0300169713184743-0.64276936565293i</v>
      </c>
      <c r="S130" s="195">
        <f t="shared" si="59"/>
        <v>-3.6669480710961806</v>
      </c>
      <c r="T130" s="195">
        <f t="shared" si="60"/>
        <v>-84.059030655321621</v>
      </c>
      <c r="U130" s="195" t="str">
        <f>IMDIV(IMSUM('Small Signal'!$B$75,IMPRODUCT(M130,'Small Signal'!$B$76)),IMSUM(IMPRODUCT('Small Signal'!$B$79,IMPOWER(M130,2)),IMSUM(IMPRODUCT(M130,'Small Signal'!$B$78),'Small Signal'!$B$77)))</f>
        <v>-0.283862657190156-0.870122018470069i</v>
      </c>
      <c r="V130" s="195">
        <f t="shared" ref="V130:V193" si="69">20*LOG(IMABS(U130))</f>
        <v>-0.7691649518794379</v>
      </c>
      <c r="W130" s="195">
        <f t="shared" ref="W130:W193" si="70">(180/PI())*IMARGUMENT(U130)</f>
        <v>-108.06804342101113</v>
      </c>
      <c r="X130" s="195" t="str">
        <f>IMPRODUCT(IMDIV(IMSUM(IMPRODUCT(M130,'Small Signal'!$B$58*'Small Signal'!$B$6*'Small Signal'!$B$51*'Small Signal'!$B$7*'Small Signal'!$B$8),'Small Signal'!$B$58*'Small Signal'!$B$6*'Small Signal'!$B$51),IMSUM(IMSUM(IMPRODUCT(M130,('Small Signal'!$B$5+'Small Signal'!$B$6)*('Small Signal'!$B$57*'Small Signal'!$B$58)+'Small Signal'!$B$5*'Small Signal'!$B$58*('Small Signal'!$B$8+'Small Signal'!$B$9)+'Small Signal'!$B$6*'Small Signal'!$B$58*('Small Signal'!$B$8+'Small Signal'!$B$9)+'Small Signal'!$B$7*'Small Signal'!$B$8*('Small Signal'!$B$5+'Small Signal'!$B$6)),'Small Signal'!$B$6+'Small Signal'!$B$5),IMPRODUCT(IMPOWER(M130,2),'Small Signal'!$B$57*'Small Signal'!$B$58*'Small Signal'!$B$8*'Small Signal'!$B$7*('Small Signal'!$B$5+'Small Signal'!$B$6)+('Small Signal'!$B$5+'Small Signal'!$B$6)*('Small Signal'!$B$9*'Small Signal'!$B$8*'Small Signal'!$B$58*'Small Signal'!$B$7)))),-1)</f>
        <v>-6.39645261133132+3.02639584941608i</v>
      </c>
      <c r="Y130" s="195">
        <f t="shared" ref="Y130:Y193" si="71">IF(D$33=1, 20*LOG(IMABS(AA130))+20*LOG(IMABS(X130)), 0)</f>
        <v>17.054844701172421</v>
      </c>
      <c r="Z130" s="195">
        <f t="shared" ref="Z130:Z193" si="72">IF(D$33=1, (180/PI())*IMARGUMENT(AA130)+(180/PI())*IMARGUMENT(X130), 0)</f>
        <v>158.78647574354159</v>
      </c>
      <c r="AA130" s="195" t="str">
        <f t="shared" ref="AA130:AA193" si="73">IMDIV(COMPLEX(1,IMABS(M130)/(2*PI()*fz_cff)),COMPLEX(1,IMABS(M130)/(2*PI()*fp_cff)))</f>
        <v>1.00420133268723+0.0721057238961426i</v>
      </c>
      <c r="AB130" s="195" t="str">
        <f t="shared" ref="AB130:AB193" si="74">IMPRODUCT(AO130,X130,AA130)</f>
        <v>1.23035013649032+4.50588158386243i</v>
      </c>
      <c r="AC130" s="192">
        <f t="shared" ref="AC130:AC193" si="75">20*LOG(IMABS(AB130))</f>
        <v>13.387896630076233</v>
      </c>
      <c r="AD130" s="195">
        <f t="shared" ref="AD130:AD193" si="76">(180/PI())*IMARGUMENT(AB130)</f>
        <v>74.727445088220009</v>
      </c>
      <c r="AE130" s="195" t="str">
        <f t="shared" ref="AE130:AE193" si="77">IMPRODUCT(U130,X130)</f>
        <v>4.44904770002678+4.70661348969524i</v>
      </c>
      <c r="AF130" s="192">
        <f t="shared" ref="AF130:AF193" si="78">20*LOG(IMABS(AE130))</f>
        <v>16.226929957460911</v>
      </c>
      <c r="AG130" s="195">
        <f t="shared" ref="AG130:AG193" si="79">(180/PI())*IMARGUMENT(AE130)</f>
        <v>46.611411914232441</v>
      </c>
      <c r="AI130" s="195" t="str">
        <f t="shared" ref="AI130:AI193" si="80">IMSUM(ESR_ss,IMDIV(1,IMPRODUCT(Co_ss,M130)))</f>
        <v>0.002-0.0430649026002852i</v>
      </c>
      <c r="AJ130" s="195">
        <f t="shared" ref="AJ130:AJ193" si="81">Ro</f>
        <v>0.22500000000000001</v>
      </c>
      <c r="AK130" s="195" t="str">
        <f t="shared" ref="AK130:AK193" si="82">IMSUM(ESR2_ss,IMDIV(1,IMPRODUCT(Co2_ss,M130)))</f>
        <v>0.0375-86.1298052005705i</v>
      </c>
      <c r="AL130" s="195" t="str">
        <f t="shared" ref="AL130:AL193" si="83">IMDIV(1,(IMSUM(IMDIV(1,AI130),IMDIV(1,AJ130),IMDIV(1,AK130))))</f>
        <v>0.00972096539553209-0.040821270858448i</v>
      </c>
      <c r="AM130" s="195" t="str">
        <f t="shared" ref="AM130:AM193" si="84">IMDIV(IMPRODUCT(Re,IMDIV(1,IMPRODUCT(Ce,M130))),IMSUM(Re,IMDIV(1,IMPRODUCT(Ce,M130))))</f>
        <v>0.898282234934862-0.0140661458251933i</v>
      </c>
      <c r="AN130" s="195" t="str">
        <f t="shared" ref="AN130:AN193" si="85">IMSUM(Rdc_ss,IMPRODUCT(Lo_ss,M130))</f>
        <v>0.006+0.159938945316347i</v>
      </c>
      <c r="AO130" s="195" t="str">
        <f t="shared" ref="AO130:AO193" si="86">IMDIV(IMPRODUCT(AL130,AM130),IMPRODUCT(Ri,IMSUM(AM130,AL130,AN130)))</f>
        <v>0.0678592063947685-0.65209931007998i</v>
      </c>
      <c r="AP130" s="195">
        <f t="shared" si="61"/>
        <v>-3.6669480710961806</v>
      </c>
      <c r="AQ130" s="195">
        <f t="shared" si="62"/>
        <v>-84.059030655321621</v>
      </c>
      <c r="AS130" s="195" t="str">
        <f t="shared" ref="AS130:AS193" si="87">IMDIV(IMPRODUCT(Re_vimax,IMDIV(1,IMPRODUCT(Ce,M130))),IMSUM(Re_vimax,IMDIV(1,IMPRODUCT(Ce,M130))))</f>
        <v>0.921713262911283-0.0148097182639511i</v>
      </c>
      <c r="AT130" s="195" t="str">
        <f t="shared" ref="AT130:AT193" si="88">IMDIV(IMPRODUCT(AL130,AS130),IMPRODUCT(Ri,IMSUM(AS130,AL130,AN130)))</f>
        <v>0.0700125413568693-0.652434475843453i</v>
      </c>
      <c r="AU130" s="195">
        <f t="shared" si="63"/>
        <v>-3.6595371011713436</v>
      </c>
      <c r="AV130" s="195">
        <f t="shared" si="64"/>
        <v>-83.875046267403732</v>
      </c>
    </row>
    <row r="131" spans="6:48" x14ac:dyDescent="0.2">
      <c r="F131" s="195">
        <v>129</v>
      </c>
      <c r="G131" s="210">
        <f t="shared" si="65"/>
        <v>173.93709428789296</v>
      </c>
      <c r="H131" s="210">
        <f t="shared" si="66"/>
        <v>168.57881372500071</v>
      </c>
      <c r="I131" s="196">
        <f t="shared" si="67"/>
        <v>1</v>
      </c>
      <c r="J131" s="195">
        <f t="shared" ref="J131:J194" si="89">IF(P131&gt;0,1,0)</f>
        <v>1</v>
      </c>
      <c r="K131" s="195">
        <f t="shared" ref="K131:K194" si="90">IF(Q131&gt;0,1,0)</f>
        <v>1</v>
      </c>
      <c r="L131" s="195">
        <f>10^('Small Signal'!F131/30)</f>
        <v>19952.623149688792</v>
      </c>
      <c r="M131" s="195" t="str">
        <f t="shared" si="68"/>
        <v>125366.028613816i</v>
      </c>
      <c r="N131" s="195">
        <f>IF(D$32=1, IF(AND('Small Signal'!$B$62&gt;=1,FCCM=0),V131+0,S131+0), 0)</f>
        <v>-4.3170425268769295</v>
      </c>
      <c r="O131" s="195">
        <f>IF(D$32=1, IF(AND('Small Signal'!$B$62&gt;=1,FCCM=0),W131,T131), 0)</f>
        <v>-85.597909401795093</v>
      </c>
      <c r="P131" s="195">
        <f>IF(AND('Small Signal'!$B$62&gt;=1,FCCM=0),AF131+0,AC131+0)</f>
        <v>12.656470538861075</v>
      </c>
      <c r="Q131" s="195">
        <f>IF(AND('Small Signal'!$B$62&gt;=1,FCCM=0),AG131,AD131)</f>
        <v>74.687948581181715</v>
      </c>
      <c r="R131" s="195" t="str">
        <f>IMDIV(IMSUM('Small Signal'!$B$2*'Small Signal'!$B$39*'Small Signal'!$B$63,IMPRODUCT(M131,'Small Signal'!$B$2*'Small Signal'!$B$39*'Small Signal'!$B$63*'Small Signal'!$B$14*'Small Signal'!$B$15)),IMSUM(IMPRODUCT('Small Signal'!$B$12*'Small Signal'!$B$14*('Small Signal'!$B$15+'Small Signal'!$B$39),IMPOWER(M131,2)),IMSUM(IMPRODUCT(M131,('Small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0.00751951390685205-0.595569860300535i</v>
      </c>
      <c r="S131" s="195">
        <f t="shared" ref="S131:S194" si="91">AP131</f>
        <v>-4.3170425268769295</v>
      </c>
      <c r="T131" s="195">
        <f t="shared" ref="T131:T194" si="92">AQ131</f>
        <v>-85.597909401795093</v>
      </c>
      <c r="U131" s="195" t="str">
        <f>IMDIV(IMSUM('Small Signal'!$B$75,IMPRODUCT(M131,'Small Signal'!$B$76)),IMSUM(IMPRODUCT('Small Signal'!$B$79,IMPOWER(M131,2)),IMSUM(IMPRODUCT(M131,'Small Signal'!$B$78),'Small Signal'!$B$77)))</f>
        <v>-0.305032048523717-0.76571848376209i</v>
      </c>
      <c r="V131" s="195">
        <f t="shared" si="69"/>
        <v>-1.6789405229735588</v>
      </c>
      <c r="W131" s="195">
        <f t="shared" si="70"/>
        <v>-111.72038731100341</v>
      </c>
      <c r="X131" s="195" t="str">
        <f>IMPRODUCT(IMDIV(IMSUM(IMPRODUCT(M131,'Small Signal'!$B$58*'Small Signal'!$B$6*'Small Signal'!$B$51*'Small Signal'!$B$7*'Small Signal'!$B$8),'Small Signal'!$B$58*'Small Signal'!$B$6*'Small Signal'!$B$51),IMSUM(IMSUM(IMPRODUCT(M131,('Small Signal'!$B$5+'Small Signal'!$B$6)*('Small Signal'!$B$57*'Small Signal'!$B$58)+'Small Signal'!$B$5*'Small Signal'!$B$58*('Small Signal'!$B$8+'Small Signal'!$B$9)+'Small Signal'!$B$6*'Small Signal'!$B$58*('Small Signal'!$B$8+'Small Signal'!$B$9)+'Small Signal'!$B$7*'Small Signal'!$B$8*('Small Signal'!$B$5+'Small Signal'!$B$6)),'Small Signal'!$B$6+'Small Signal'!$B$5),IMPRODUCT(IMPOWER(M131,2),'Small Signal'!$B$57*'Small Signal'!$B$58*'Small Signal'!$B$8*'Small Signal'!$B$7*('Small Signal'!$B$5+'Small Signal'!$B$6)+('Small Signal'!$B$5+'Small Signal'!$B$6)*('Small Signal'!$B$9*'Small Signal'!$B$8*'Small Signal'!$B$58*'Small Signal'!$B$7)))),-1)</f>
        <v>-6.39007283913318+2.86404311333236i</v>
      </c>
      <c r="Y131" s="195">
        <f t="shared" si="71"/>
        <v>16.973513065738018</v>
      </c>
      <c r="Z131" s="195">
        <f t="shared" si="72"/>
        <v>160.28585798297684</v>
      </c>
      <c r="AA131" s="195" t="str">
        <f t="shared" si="73"/>
        <v>1.00489564603036+0.0778142873563784i</v>
      </c>
      <c r="AB131" s="195" t="str">
        <f t="shared" si="74"/>
        <v>1.13384147370157+4.14120387907561i</v>
      </c>
      <c r="AC131" s="192">
        <f t="shared" si="75"/>
        <v>12.656470538861075</v>
      </c>
      <c r="AD131" s="195">
        <f t="shared" si="76"/>
        <v>74.687948581181715</v>
      </c>
      <c r="AE131" s="195" t="str">
        <f t="shared" si="77"/>
        <v>4.14222775850667+4.01937194759036i</v>
      </c>
      <c r="AF131" s="192">
        <f t="shared" si="78"/>
        <v>15.226189810905947</v>
      </c>
      <c r="AG131" s="195">
        <f t="shared" si="79"/>
        <v>44.137597025693715</v>
      </c>
      <c r="AI131" s="195" t="str">
        <f t="shared" si="80"/>
        <v>0.002-0.0398832128231665i</v>
      </c>
      <c r="AJ131" s="195">
        <f t="shared" si="81"/>
        <v>0.22500000000000001</v>
      </c>
      <c r="AK131" s="195" t="str">
        <f t="shared" si="82"/>
        <v>0.0375-79.7664256463329i</v>
      </c>
      <c r="AL131" s="195" t="str">
        <f t="shared" si="83"/>
        <v>0.00865241039360145-0.0379930000106993i</v>
      </c>
      <c r="AM131" s="195" t="str">
        <f t="shared" si="84"/>
        <v>0.898245700923161-0.0151876571698193i</v>
      </c>
      <c r="AN131" s="195" t="str">
        <f t="shared" si="85"/>
        <v>0.006+0.172698100641481i</v>
      </c>
      <c r="AO131" s="195" t="str">
        <f t="shared" si="86"/>
        <v>0.0466935464181112-0.606547463194878i</v>
      </c>
      <c r="AP131" s="195">
        <f t="shared" ref="AP131:AP194" si="93">20*LOG(IMABS(AO131))</f>
        <v>-4.3170425268769295</v>
      </c>
      <c r="AQ131" s="195">
        <f t="shared" ref="AQ131:AQ194" si="94">(180/PI())*IMARGUMENT(AO131)</f>
        <v>-85.597909401795093</v>
      </c>
      <c r="AS131" s="195" t="str">
        <f t="shared" si="87"/>
        <v>0.921673794364426-0.0159904811871416i</v>
      </c>
      <c r="AT131" s="195" t="str">
        <f t="shared" si="88"/>
        <v>0.048937675199317-0.606944196964931i</v>
      </c>
      <c r="AU131" s="195">
        <f t="shared" ref="AU131:AU194" si="95">20*LOG(IMABS(AT131))</f>
        <v>-4.3088820439857383</v>
      </c>
      <c r="AV131" s="195">
        <f t="shared" ref="AV131:AV194" si="96">(180/PI())*IMARGUMENT(AT131)</f>
        <v>-85.390235825775605</v>
      </c>
    </row>
    <row r="132" spans="6:48" x14ac:dyDescent="0.2">
      <c r="F132" s="195">
        <v>130</v>
      </c>
      <c r="G132" s="210">
        <f t="shared" si="65"/>
        <v>174.3495574105435</v>
      </c>
      <c r="H132" s="210">
        <f t="shared" si="66"/>
        <v>168.57881372500071</v>
      </c>
      <c r="I132" s="196">
        <f t="shared" si="67"/>
        <v>1</v>
      </c>
      <c r="J132" s="195">
        <f t="shared" si="89"/>
        <v>1</v>
      </c>
      <c r="K132" s="195">
        <f t="shared" si="90"/>
        <v>1</v>
      </c>
      <c r="L132" s="195">
        <f>10^('Small Signal'!F132/30)</f>
        <v>21544.346900318837</v>
      </c>
      <c r="M132" s="195" t="str">
        <f t="shared" si="68"/>
        <v>135367.123896863i</v>
      </c>
      <c r="N132" s="195">
        <f>IF(D$32=1, IF(AND('Small Signal'!$B$62&gt;=1,FCCM=0),V132+0,S132+0), 0)</f>
        <v>-4.9743502371537547</v>
      </c>
      <c r="O132" s="195">
        <f>IF(D$32=1, IF(AND('Small Signal'!$B$62&gt;=1,FCCM=0),W132,T132), 0)</f>
        <v>-87.115392160423582</v>
      </c>
      <c r="P132" s="195">
        <f>IF(AND('Small Signal'!$B$62&gt;=1,FCCM=0),AF132+0,AC132+0)</f>
        <v>11.930012938382866</v>
      </c>
      <c r="Q132" s="195">
        <f>IF(AND('Small Signal'!$B$62&gt;=1,FCCM=0),AG132,AD132)</f>
        <v>74.589463706081474</v>
      </c>
      <c r="R132" s="195" t="str">
        <f>IMDIV(IMSUM('Small Signal'!$B$2*'Small Signal'!$B$39*'Small Signal'!$B$63,IMPRODUCT(M132,'Small Signal'!$B$2*'Small Signal'!$B$39*'Small Signal'!$B$63*'Small Signal'!$B$14*'Small Signal'!$B$15)),IMSUM(IMPRODUCT('Small Signal'!$B$12*'Small Signal'!$B$14*('Small Signal'!$B$15+'Small Signal'!$B$39),IMPOWER(M132,2)),IMSUM(IMPRODUCT(M132,('Small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-0.0116902358931853-0.550424986459919i</v>
      </c>
      <c r="S132" s="195">
        <f t="shared" si="91"/>
        <v>-4.9743502371537547</v>
      </c>
      <c r="T132" s="195">
        <f t="shared" si="92"/>
        <v>-87.115392160423582</v>
      </c>
      <c r="U132" s="195" t="str">
        <f>IMDIV(IMSUM('Small Signal'!$B$75,IMPRODUCT(M132,'Small Signal'!$B$76)),IMSUM(IMPRODUCT('Small Signal'!$B$79,IMPOWER(M132,2)),IMSUM(IMPRODUCT(M132,'Small Signal'!$B$78),'Small Signal'!$B$77)))</f>
        <v>-0.315228104871961-0.66833700695098i</v>
      </c>
      <c r="V132" s="195">
        <f t="shared" si="69"/>
        <v>-2.6277306611938207</v>
      </c>
      <c r="W132" s="195">
        <f t="shared" si="70"/>
        <v>-115.25139617509318</v>
      </c>
      <c r="X132" s="195" t="str">
        <f>IMPRODUCT(IMDIV(IMSUM(IMPRODUCT(M132,'Small Signal'!$B$58*'Small Signal'!$B$6*'Small Signal'!$B$51*'Small Signal'!$B$7*'Small Signal'!$B$8),'Small Signal'!$B$58*'Small Signal'!$B$6*'Small Signal'!$B$51),IMSUM(IMSUM(IMPRODUCT(M132,('Small Signal'!$B$5+'Small Signal'!$B$6)*('Small Signal'!$B$57*'Small Signal'!$B$58)+'Small Signal'!$B$5*'Small Signal'!$B$58*('Small Signal'!$B$8+'Small Signal'!$B$9)+'Small Signal'!$B$6*'Small Signal'!$B$58*('Small Signal'!$B$8+'Small Signal'!$B$9)+'Small Signal'!$B$7*'Small Signal'!$B$8*('Small Signal'!$B$5+'Small Signal'!$B$6)),'Small Signal'!$B$6+'Small Signal'!$B$5),IMPRODUCT(IMPOWER(M132,2),'Small Signal'!$B$57*'Small Signal'!$B$58*'Small Signal'!$B$8*'Small Signal'!$B$7*('Small Signal'!$B$5+'Small Signal'!$B$6)+('Small Signal'!$B$5+'Small Signal'!$B$6)*('Small Signal'!$B$9*'Small Signal'!$B$8*'Small Signal'!$B$58*'Small Signal'!$B$7)))),-1)</f>
        <v>-6.3833293118061+2.7184741971301i</v>
      </c>
      <c r="Y132" s="195">
        <f t="shared" si="71"/>
        <v>16.904363175536627</v>
      </c>
      <c r="Z132" s="195">
        <f t="shared" si="72"/>
        <v>161.70485586650497</v>
      </c>
      <c r="AA132" s="195" t="str">
        <f t="shared" si="73"/>
        <v>1.00570417289028+0.0839670087012022i</v>
      </c>
      <c r="AB132" s="195" t="str">
        <f t="shared" si="74"/>
        <v>1.04941386233966+3.80713830003998i</v>
      </c>
      <c r="AC132" s="192">
        <f t="shared" si="75"/>
        <v>11.930012938382866</v>
      </c>
      <c r="AD132" s="195">
        <f t="shared" si="76"/>
        <v>74.589463706081474</v>
      </c>
      <c r="AE132" s="195" t="str">
        <f t="shared" si="77"/>
        <v>3.82906171011768+3.4092757373303i</v>
      </c>
      <c r="AF132" s="192">
        <f t="shared" si="78"/>
        <v>14.197059099711653</v>
      </c>
      <c r="AG132" s="195">
        <f t="shared" si="79"/>
        <v>41.680860271859828</v>
      </c>
      <c r="AI132" s="195" t="str">
        <f t="shared" si="80"/>
        <v>0.002-0.036936590333481i</v>
      </c>
      <c r="AJ132" s="195">
        <f t="shared" si="81"/>
        <v>0.22500000000000001</v>
      </c>
      <c r="AK132" s="195" t="str">
        <f t="shared" si="82"/>
        <v>0.0375-73.8731806669621i</v>
      </c>
      <c r="AL132" s="195" t="str">
        <f t="shared" si="83"/>
        <v>0.00772742817693169-0.0353364720055678i</v>
      </c>
      <c r="AM132" s="195" t="str">
        <f t="shared" si="84"/>
        <v>0.898203109144843-0.0163984773886178i</v>
      </c>
      <c r="AN132" s="195" t="str">
        <f t="shared" si="85"/>
        <v>0.006+0.186475119653842i</v>
      </c>
      <c r="AO132" s="195" t="str">
        <f t="shared" si="86"/>
        <v>0.0283833172356621-0.563289752036335i</v>
      </c>
      <c r="AP132" s="195">
        <f t="shared" si="93"/>
        <v>-4.9743502371537547</v>
      </c>
      <c r="AQ132" s="195">
        <f t="shared" si="94"/>
        <v>-87.115392160423582</v>
      </c>
      <c r="AS132" s="195" t="str">
        <f t="shared" si="87"/>
        <v>0.921627781684941-0.0172652624435892i</v>
      </c>
      <c r="AT132" s="195" t="str">
        <f t="shared" si="88"/>
        <v>0.0306993368777089-0.563761942749069i</v>
      </c>
      <c r="AU132" s="195">
        <f t="shared" si="95"/>
        <v>-4.9652258838482775</v>
      </c>
      <c r="AV132" s="195">
        <f t="shared" si="96"/>
        <v>-86.883069250134241</v>
      </c>
    </row>
    <row r="133" spans="6:48" x14ac:dyDescent="0.2">
      <c r="F133" s="195">
        <v>131</v>
      </c>
      <c r="G133" s="210">
        <f t="shared" si="65"/>
        <v>174.79116643276808</v>
      </c>
      <c r="H133" s="210">
        <f t="shared" si="66"/>
        <v>168.57881372500071</v>
      </c>
      <c r="I133" s="196">
        <f t="shared" si="67"/>
        <v>1</v>
      </c>
      <c r="J133" s="195">
        <f t="shared" si="89"/>
        <v>1</v>
      </c>
      <c r="K133" s="195">
        <f t="shared" si="90"/>
        <v>1</v>
      </c>
      <c r="L133" s="195">
        <f>10^('Small Signal'!F133/30)</f>
        <v>23263.050671536268</v>
      </c>
      <c r="M133" s="195" t="str">
        <f t="shared" si="68"/>
        <v>146166.058179571i</v>
      </c>
      <c r="N133" s="195">
        <f>IF(D$32=1, IF(AND('Small Signal'!$B$62&gt;=1,FCCM=0),V133+0,S133+0), 0)</f>
        <v>-5.6386905706547443</v>
      </c>
      <c r="O133" s="195">
        <f>IF(D$32=1, IF(AND('Small Signal'!$B$62&gt;=1,FCCM=0),W133,T133), 0)</f>
        <v>-88.61759866800729</v>
      </c>
      <c r="P133" s="195">
        <f>IF(AND('Small Signal'!$B$62&gt;=1,FCCM=0),AF133+0,AC133+0)</f>
        <v>11.207639175764379</v>
      </c>
      <c r="Q133" s="195">
        <f>IF(AND('Small Signal'!$B$62&gt;=1,FCCM=0),AG133,AD133)</f>
        <v>74.42695441878675</v>
      </c>
      <c r="R133" s="195" t="str">
        <f>IMDIV(IMSUM('Small Signal'!$B$2*'Small Signal'!$B$39*'Small Signal'!$B$63,IMPRODUCT(M133,'Small Signal'!$B$2*'Small Signal'!$B$39*'Small Signal'!$B$63*'Small Signal'!$B$14*'Small Signal'!$B$15)),IMSUM(IMPRODUCT('Small Signal'!$B$12*'Small Signal'!$B$14*('Small Signal'!$B$15+'Small Signal'!$B$39),IMPOWER(M133,2)),IMSUM(IMPRODUCT(M133,('Small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-0.027936747847596-0.507394210921493i</v>
      </c>
      <c r="S133" s="195">
        <f t="shared" si="91"/>
        <v>-5.6386905706547443</v>
      </c>
      <c r="T133" s="195">
        <f t="shared" si="92"/>
        <v>-88.61759866800729</v>
      </c>
      <c r="U133" s="195" t="str">
        <f>IMDIV(IMSUM('Small Signal'!$B$75,IMPRODUCT(M133,'Small Signal'!$B$76)),IMSUM(IMPRODUCT('Small Signal'!$B$79,IMPOWER(M133,2)),IMSUM(IMPRODUCT(M133,'Small Signal'!$B$78),'Small Signal'!$B$77)))</f>
        <v>-0.316256004038973-0.578918716222445i</v>
      </c>
      <c r="V133" s="195">
        <f t="shared" si="69"/>
        <v>-3.6134630128691598</v>
      </c>
      <c r="W133" s="195">
        <f t="shared" si="70"/>
        <v>-118.64722417693302</v>
      </c>
      <c r="X133" s="195" t="str">
        <f>IMPRODUCT(IMDIV(IMSUM(IMPRODUCT(M133,'Small Signal'!$B$58*'Small Signal'!$B$6*'Small Signal'!$B$51*'Small Signal'!$B$7*'Small Signal'!$B$8),'Small Signal'!$B$58*'Small Signal'!$B$6*'Small Signal'!$B$51),IMSUM(IMSUM(IMPRODUCT(M133,('Small Signal'!$B$5+'Small Signal'!$B$6)*('Small Signal'!$B$57*'Small Signal'!$B$58)+'Small Signal'!$B$5*'Small Signal'!$B$58*('Small Signal'!$B$8+'Small Signal'!$B$9)+'Small Signal'!$B$6*'Small Signal'!$B$58*('Small Signal'!$B$8+'Small Signal'!$B$9)+'Small Signal'!$B$7*'Small Signal'!$B$8*('Small Signal'!$B$5+'Small Signal'!$B$6)),'Small Signal'!$B$6+'Small Signal'!$B$5),IMPRODUCT(IMPOWER(M133,2),'Small Signal'!$B$57*'Small Signal'!$B$58*'Small Signal'!$B$8*'Small Signal'!$B$7*('Small Signal'!$B$5+'Small Signal'!$B$6)+('Small Signal'!$B$5+'Small Signal'!$B$6)*('Small Signal'!$B$9*'Small Signal'!$B$8*'Small Signal'!$B$58*'Small Signal'!$B$7)))),-1)</f>
        <v>-6.37606621226928+2.58880804303801i</v>
      </c>
      <c r="Y133" s="195">
        <f t="shared" si="71"/>
        <v>16.846329746419123</v>
      </c>
      <c r="Z133" s="195">
        <f t="shared" si="72"/>
        <v>163.044553086794</v>
      </c>
      <c r="AA133" s="195" t="str">
        <f t="shared" si="73"/>
        <v>1.00664551230261+0.0905964404678278i</v>
      </c>
      <c r="AB133" s="195" t="str">
        <f t="shared" si="74"/>
        <v>0.975601247050446+3.50056823089424i</v>
      </c>
      <c r="AC133" s="192">
        <f t="shared" si="75"/>
        <v>11.207639175764379</v>
      </c>
      <c r="AD133" s="195">
        <f t="shared" si="76"/>
        <v>74.42695441878675</v>
      </c>
      <c r="AE133" s="195" t="str">
        <f t="shared" si="77"/>
        <v>3.5151786506021+2.87249797924108i</v>
      </c>
      <c r="AF133" s="192">
        <f t="shared" si="78"/>
        <v>13.140300626290191</v>
      </c>
      <c r="AG133" s="195">
        <f t="shared" si="79"/>
        <v>39.254657829731876</v>
      </c>
      <c r="AI133" s="195" t="str">
        <f t="shared" si="80"/>
        <v>0.002-0.0342076680610576i</v>
      </c>
      <c r="AJ133" s="195">
        <f t="shared" si="81"/>
        <v>0.22500000000000001</v>
      </c>
      <c r="AK133" s="195" t="str">
        <f t="shared" si="82"/>
        <v>0.0375-68.4153361221152i</v>
      </c>
      <c r="AL133" s="195" t="str">
        <f t="shared" si="83"/>
        <v>0.00692775033929585-0.0328462244583436i</v>
      </c>
      <c r="AM133" s="195" t="str">
        <f t="shared" si="84"/>
        <v>0.89815345587678-0.0177056897477511i</v>
      </c>
      <c r="AN133" s="195" t="str">
        <f t="shared" si="85"/>
        <v>0.006+0.201351202594307i</v>
      </c>
      <c r="AO133" s="195" t="str">
        <f t="shared" si="86"/>
        <v>0.0126047676803495-0.522322880196043i</v>
      </c>
      <c r="AP133" s="195">
        <f t="shared" si="93"/>
        <v>-5.6386905706547443</v>
      </c>
      <c r="AQ133" s="195">
        <f t="shared" si="94"/>
        <v>-88.61759866800729</v>
      </c>
      <c r="AS133" s="195" t="str">
        <f t="shared" si="87"/>
        <v>0.921574140639723-0.0186415165115539i</v>
      </c>
      <c r="AT133" s="195" t="str">
        <f t="shared" si="88"/>
        <v>0.014974002743848-0.522881824226574i</v>
      </c>
      <c r="AU133" s="195">
        <f t="shared" si="95"/>
        <v>-5.6283688812784867</v>
      </c>
      <c r="AV133" s="195">
        <f t="shared" si="96"/>
        <v>-88.359643230937934</v>
      </c>
    </row>
    <row r="134" spans="6:48" x14ac:dyDescent="0.2">
      <c r="F134" s="195">
        <v>132</v>
      </c>
      <c r="G134" s="210">
        <f t="shared" si="65"/>
        <v>175.26332919598121</v>
      </c>
      <c r="H134" s="210">
        <f t="shared" si="66"/>
        <v>168.57881372500071</v>
      </c>
      <c r="I134" s="196">
        <f t="shared" si="67"/>
        <v>1</v>
      </c>
      <c r="J134" s="195">
        <f t="shared" si="89"/>
        <v>1</v>
      </c>
      <c r="K134" s="195">
        <f t="shared" si="90"/>
        <v>1</v>
      </c>
      <c r="L134" s="195">
        <f>10^('Small Signal'!F134/30)</f>
        <v>25118.86431509586</v>
      </c>
      <c r="M134" s="195" t="str">
        <f t="shared" si="68"/>
        <v>157826.479197648i</v>
      </c>
      <c r="N134" s="195">
        <f>IF(D$32=1, IF(AND('Small Signal'!$B$62&gt;=1,FCCM=0),V134+0,S134+0), 0)</f>
        <v>-6.3100116783311702</v>
      </c>
      <c r="O134" s="195">
        <f>IF(D$32=1, IF(AND('Small Signal'!$B$62&gt;=1,FCCM=0),W134,T134), 0)</f>
        <v>-90.110634082670089</v>
      </c>
      <c r="P134" s="195">
        <f>IF(AND('Small Signal'!$B$62&gt;=1,FCCM=0),AF134+0,AC134+0)</f>
        <v>10.488456340164111</v>
      </c>
      <c r="Q134" s="195">
        <f>IF(AND('Small Signal'!$B$62&gt;=1,FCCM=0),AG134,AD134)</f>
        <v>74.19593330164389</v>
      </c>
      <c r="R134" s="195" t="str">
        <f>IMDIV(IMSUM('Small Signal'!$B$2*'Small Signal'!$B$39*'Small Signal'!$B$63,IMPRODUCT(M134,'Small Signal'!$B$2*'Small Signal'!$B$39*'Small Signal'!$B$63*'Small Signal'!$B$14*'Small Signal'!$B$15)),IMSUM(IMPRODUCT('Small Signal'!$B$12*'Small Signal'!$B$14*('Small Signal'!$B$15+'Small Signal'!$B$39),IMPOWER(M134,2)),IMSUM(IMPRODUCT(M134,('Small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-0.0415157594229848-0.466502754115779i</v>
      </c>
      <c r="S134" s="195">
        <f t="shared" si="91"/>
        <v>-6.3100116783311702</v>
      </c>
      <c r="T134" s="195">
        <f t="shared" si="92"/>
        <v>-90.110634082670089</v>
      </c>
      <c r="U134" s="195" t="str">
        <f>IMDIV(IMSUM('Small Signal'!$B$75,IMPRODUCT(M134,'Small Signal'!$B$76)),IMSUM(IMPRODUCT('Small Signal'!$B$79,IMPOWER(M134,2)),IMSUM(IMPRODUCT(M134,'Small Signal'!$B$78),'Small Signal'!$B$77)))</f>
        <v>-0.309919836699922-0.497988053465316i</v>
      </c>
      <c r="V134" s="195">
        <f t="shared" si="69"/>
        <v>-4.6338802310833511</v>
      </c>
      <c r="W134" s="195">
        <f t="shared" si="70"/>
        <v>-121.89581812621839</v>
      </c>
      <c r="X134" s="195" t="str">
        <f>IMPRODUCT(IMDIV(IMSUM(IMPRODUCT(M134,'Small Signal'!$B$58*'Small Signal'!$B$6*'Small Signal'!$B$51*'Small Signal'!$B$7*'Small Signal'!$B$8),'Small Signal'!$B$58*'Small Signal'!$B$6*'Small Signal'!$B$51),IMSUM(IMSUM(IMPRODUCT(M134,('Small Signal'!$B$5+'Small Signal'!$B$6)*('Small Signal'!$B$57*'Small Signal'!$B$58)+'Small Signal'!$B$5*'Small Signal'!$B$58*('Small Signal'!$B$8+'Small Signal'!$B$9)+'Small Signal'!$B$6*'Small Signal'!$B$58*('Small Signal'!$B$8+'Small Signal'!$B$9)+'Small Signal'!$B$7*'Small Signal'!$B$8*('Small Signal'!$B$5+'Small Signal'!$B$6)),'Small Signal'!$B$6+'Small Signal'!$B$5),IMPRODUCT(IMPOWER(M134,2),'Small Signal'!$B$57*'Small Signal'!$B$58*'Small Signal'!$B$8*'Small Signal'!$B$7*('Small Signal'!$B$5+'Small Signal'!$B$6)+('Small Signal'!$B$5+'Small Signal'!$B$6)*('Small Signal'!$B$9*'Small Signal'!$B$8*'Small Signal'!$B$58*'Small Signal'!$B$7)))),-1)</f>
        <v>-6.36811665774141+2.47425113098322i</v>
      </c>
      <c r="Y134" s="195">
        <f t="shared" si="71"/>
        <v>16.798468018495292</v>
      </c>
      <c r="Z134" s="195">
        <f t="shared" si="72"/>
        <v>164.30656738431401</v>
      </c>
      <c r="AA134" s="195" t="str">
        <f t="shared" si="73"/>
        <v>1.00774122468091+0.0977370006998589i</v>
      </c>
      <c r="AB134" s="195" t="str">
        <f t="shared" si="74"/>
        <v>0.911061871661012+3.21875237764907i</v>
      </c>
      <c r="AC134" s="192">
        <f t="shared" si="75"/>
        <v>10.488456340164111</v>
      </c>
      <c r="AD134" s="195">
        <f t="shared" si="76"/>
        <v>74.19593330164389</v>
      </c>
      <c r="AE134" s="195" t="str">
        <f t="shared" si="77"/>
        <v>3.20575317915596+2.40442651215978i</v>
      </c>
      <c r="AF134" s="192">
        <f t="shared" si="78"/>
        <v>12.056947070719456</v>
      </c>
      <c r="AG134" s="195">
        <f t="shared" si="79"/>
        <v>36.871174489148665</v>
      </c>
      <c r="AI134" s="195" t="str">
        <f t="shared" si="80"/>
        <v>0.002-0.0316803620369586i</v>
      </c>
      <c r="AJ134" s="195">
        <f t="shared" si="81"/>
        <v>0.22500000000000001</v>
      </c>
      <c r="AK134" s="195" t="str">
        <f t="shared" si="82"/>
        <v>0.0375-63.3607240739172i</v>
      </c>
      <c r="AL134" s="195" t="str">
        <f t="shared" si="83"/>
        <v>0.00623716551399624-0.0305158436982498i</v>
      </c>
      <c r="AM134" s="195" t="str">
        <f t="shared" si="84"/>
        <v>0.898095571347562-0.01911693188693i</v>
      </c>
      <c r="AN134" s="195" t="str">
        <f t="shared" si="85"/>
        <v>0.006+0.217414027466148i</v>
      </c>
      <c r="AO134" s="195" t="str">
        <f t="shared" si="86"/>
        <v>-0.000933824906480554-0.483613712498184i</v>
      </c>
      <c r="AP134" s="195">
        <f t="shared" si="93"/>
        <v>-6.3100116783311702</v>
      </c>
      <c r="AQ134" s="195">
        <f t="shared" si="94"/>
        <v>-90.110634082670089</v>
      </c>
      <c r="AS134" s="195" t="str">
        <f t="shared" si="87"/>
        <v>0.921511607656082-0.0201272806973731i</v>
      </c>
      <c r="AT134" s="195" t="str">
        <f t="shared" si="88"/>
        <v>0.0014702325375993-0.484268431577633i</v>
      </c>
      <c r="AU134" s="195">
        <f t="shared" si="95"/>
        <v>-6.2982367854924277</v>
      </c>
      <c r="AV134" s="195">
        <f t="shared" si="96"/>
        <v>-89.826051307493614</v>
      </c>
    </row>
    <row r="135" spans="6:48" x14ac:dyDescent="0.2">
      <c r="F135" s="195">
        <v>133</v>
      </c>
      <c r="G135" s="210">
        <f t="shared" si="65"/>
        <v>175.76735300987565</v>
      </c>
      <c r="H135" s="210">
        <f t="shared" si="66"/>
        <v>168.57881372500071</v>
      </c>
      <c r="I135" s="196">
        <f t="shared" si="67"/>
        <v>1</v>
      </c>
      <c r="J135" s="195">
        <f t="shared" si="89"/>
        <v>1</v>
      </c>
      <c r="K135" s="195">
        <f t="shared" si="90"/>
        <v>1</v>
      </c>
      <c r="L135" s="195">
        <f>10^('Small Signal'!F135/30)</f>
        <v>27122.725793320307</v>
      </c>
      <c r="M135" s="195" t="str">
        <f t="shared" si="68"/>
        <v>170417.112195251i</v>
      </c>
      <c r="N135" s="195">
        <f>IF(D$32=1, IF(AND('Small Signal'!$B$62&gt;=1,FCCM=0),V135+0,S135+0), 0)</f>
        <v>-6.9883895157765217</v>
      </c>
      <c r="O135" s="195">
        <f>IF(D$32=1, IF(AND('Small Signal'!$B$62&gt;=1,FCCM=0),W135,T135), 0)</f>
        <v>-91.600507156486742</v>
      </c>
      <c r="P135" s="195">
        <f>IF(AND('Small Signal'!$B$62&gt;=1,FCCM=0),AF135+0,AC135+0)</f>
        <v>9.7715690968770907</v>
      </c>
      <c r="Q135" s="195">
        <f>IF(AND('Small Signal'!$B$62&gt;=1,FCCM=0),AG135,AD135)</f>
        <v>73.892371640640548</v>
      </c>
      <c r="R135" s="195" t="str">
        <f>IMDIV(IMSUM('Small Signal'!$B$2*'Small Signal'!$B$39*'Small Signal'!$B$63,IMPRODUCT(M135,'Small Signal'!$B$2*'Small Signal'!$B$39*'Small Signal'!$B$63*'Small Signal'!$B$14*'Small Signal'!$B$15)),IMSUM(IMPRODUCT('Small Signal'!$B$12*'Small Signal'!$B$14*('Small Signal'!$B$15+'Small Signal'!$B$39),IMPOWER(M135,2)),IMSUM(IMPRODUCT(M135,('Small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-0.0526942766472188-0.427750164749608i</v>
      </c>
      <c r="S135" s="195">
        <f t="shared" si="91"/>
        <v>-6.9883895157765217</v>
      </c>
      <c r="T135" s="195">
        <f t="shared" si="92"/>
        <v>-91.600507156486742</v>
      </c>
      <c r="U135" s="195" t="str">
        <f>IMDIV(IMSUM('Small Signal'!$B$75,IMPRODUCT(M135,'Small Signal'!$B$76)),IMSUM(IMPRODUCT('Small Signal'!$B$79,IMPOWER(M135,2)),IMSUM(IMPRODUCT(M135,'Small Signal'!$B$78),'Small Signal'!$B$77)))</f>
        <v>-0.297934776390085-0.425700346507023i</v>
      </c>
      <c r="V135" s="195">
        <f t="shared" si="69"/>
        <v>-5.6865889052077527</v>
      </c>
      <c r="W135" s="195">
        <f t="shared" si="70"/>
        <v>-124.98700962915696</v>
      </c>
      <c r="X135" s="195" t="str">
        <f>IMPRODUCT(IMDIV(IMSUM(IMPRODUCT(M135,'Small Signal'!$B$58*'Small Signal'!$B$6*'Small Signal'!$B$51*'Small Signal'!$B$7*'Small Signal'!$B$8),'Small Signal'!$B$58*'Small Signal'!$B$6*'Small Signal'!$B$51),IMSUM(IMSUM(IMPRODUCT(M135,('Small Signal'!$B$5+'Small Signal'!$B$6)*('Small Signal'!$B$57*'Small Signal'!$B$58)+'Small Signal'!$B$5*'Small Signal'!$B$58*('Small Signal'!$B$8+'Small Signal'!$B$9)+'Small Signal'!$B$6*'Small Signal'!$B$58*('Small Signal'!$B$8+'Small Signal'!$B$9)+'Small Signal'!$B$7*'Small Signal'!$B$8*('Small Signal'!$B$5+'Small Signal'!$B$6)),'Small Signal'!$B$6+'Small Signal'!$B$5),IMPRODUCT(IMPOWER(M135,2),'Small Signal'!$B$57*'Small Signal'!$B$58*'Small Signal'!$B$8*'Small Signal'!$B$7*('Small Signal'!$B$5+'Small Signal'!$B$6)+('Small Signal'!$B$5+'Small Signal'!$B$6)*('Small Signal'!$B$9*'Small Signal'!$B$8*'Small Signal'!$B$58*'Small Signal'!$B$7)))),-1)</f>
        <v>-6.35929918383046+2.37409132489764i</v>
      </c>
      <c r="Y135" s="195">
        <f t="shared" si="71"/>
        <v>16.759958612653612</v>
      </c>
      <c r="Z135" s="195">
        <f t="shared" si="72"/>
        <v>165.4928787971273</v>
      </c>
      <c r="AA135" s="195" t="str">
        <f t="shared" si="73"/>
        <v>1.00901627930866+0.105424939030107i</v>
      </c>
      <c r="AB135" s="195" t="str">
        <f t="shared" si="74"/>
        <v>0.854577692468491+2.95927505239021i</v>
      </c>
      <c r="AC135" s="192">
        <f t="shared" si="75"/>
        <v>9.7715690968770907</v>
      </c>
      <c r="AD135" s="195">
        <f t="shared" si="76"/>
        <v>73.892371640640548</v>
      </c>
      <c r="AE135" s="195" t="str">
        <f t="shared" si="77"/>
        <v>2.90530787998042+1.99983149808544i</v>
      </c>
      <c r="AF135" s="192">
        <f t="shared" si="78"/>
        <v>10.948252643322459</v>
      </c>
      <c r="AG135" s="195">
        <f t="shared" si="79"/>
        <v>34.541082803106356</v>
      </c>
      <c r="AI135" s="195" t="str">
        <f t="shared" si="80"/>
        <v>0.002-0.0293397765963278i</v>
      </c>
      <c r="AJ135" s="195">
        <f t="shared" si="81"/>
        <v>0.22500000000000001</v>
      </c>
      <c r="AK135" s="195" t="str">
        <f t="shared" si="82"/>
        <v>0.0375-58.6795531926557i</v>
      </c>
      <c r="AL135" s="195" t="str">
        <f t="shared" si="83"/>
        <v>0.00564135974077065-0.0283382738457372i</v>
      </c>
      <c r="AM135" s="195" t="str">
        <f t="shared" si="84"/>
        <v>0.898028092361318-0.0206404372824047i</v>
      </c>
      <c r="AN135" s="195" t="str">
        <f t="shared" si="85"/>
        <v>0.006+0.23475826679958i</v>
      </c>
      <c r="AO135" s="195" t="str">
        <f t="shared" si="86"/>
        <v>-0.0124927782046717-0.447106577479156i</v>
      </c>
      <c r="AP135" s="195">
        <f t="shared" si="93"/>
        <v>-6.9883895157765217</v>
      </c>
      <c r="AQ135" s="195">
        <f t="shared" si="94"/>
        <v>-91.600507156486742</v>
      </c>
      <c r="AS135" s="195" t="str">
        <f t="shared" si="87"/>
        <v>0.921438710264152-0.0217312185694951i</v>
      </c>
      <c r="AT135" s="195" t="str">
        <f t="shared" si="88"/>
        <v>-0.0100720106911233-0.447864062393932i</v>
      </c>
      <c r="AU135" s="195">
        <f t="shared" si="95"/>
        <v>-6.9748797887026468</v>
      </c>
      <c r="AV135" s="195">
        <f t="shared" si="96"/>
        <v>-91.288307087291685</v>
      </c>
    </row>
    <row r="136" spans="6:48" x14ac:dyDescent="0.2">
      <c r="F136" s="195">
        <v>134</v>
      </c>
      <c r="G136" s="210">
        <f t="shared" si="65"/>
        <v>176.30439207686698</v>
      </c>
      <c r="H136" s="210">
        <f t="shared" si="66"/>
        <v>168.57881372500071</v>
      </c>
      <c r="I136" s="196">
        <f t="shared" si="67"/>
        <v>1</v>
      </c>
      <c r="J136" s="195">
        <f t="shared" si="89"/>
        <v>1</v>
      </c>
      <c r="K136" s="195">
        <f t="shared" si="90"/>
        <v>1</v>
      </c>
      <c r="L136" s="195">
        <f>10^('Small Signal'!F136/30)</f>
        <v>29286.445646252399</v>
      </c>
      <c r="M136" s="195" t="str">
        <f t="shared" si="68"/>
        <v>184012.164984047i</v>
      </c>
      <c r="N136" s="195">
        <f>IF(D$32=1, IF(AND('Small Signal'!$B$62&gt;=1,FCCM=0),V136+0,S136+0), 0)</f>
        <v>-7.6740270183344403</v>
      </c>
      <c r="O136" s="195">
        <f>IF(D$32=1, IF(AND('Small Signal'!$B$62&gt;=1,FCCM=0),W136,T136), 0)</f>
        <v>-93.093047070895679</v>
      </c>
      <c r="P136" s="195">
        <f>IF(AND('Small Signal'!$B$62&gt;=1,FCCM=0),AF136+0,AC136+0)</f>
        <v>9.0560819341110737</v>
      </c>
      <c r="Q136" s="195">
        <f>IF(AND('Small Signal'!$B$62&gt;=1,FCCM=0),AG136,AD136)</f>
        <v>73.512619405508431</v>
      </c>
      <c r="R136" s="195" t="str">
        <f>IMDIV(IMSUM('Small Signal'!$B$2*'Small Signal'!$B$39*'Small Signal'!$B$63,IMPRODUCT(M136,'Small Signal'!$B$2*'Small Signal'!$B$39*'Small Signal'!$B$63*'Small Signal'!$B$14*'Small Signal'!$B$15)),IMSUM(IMPRODUCT('Small Signal'!$B$12*'Small Signal'!$B$14*('Small Signal'!$B$15+'Small Signal'!$B$39),IMPOWER(M136,2)),IMSUM(IMPRODUCT(M136,('Small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-0.0617119079514298-0.391117726731766i</v>
      </c>
      <c r="S136" s="195">
        <f t="shared" si="91"/>
        <v>-7.6740270183344403</v>
      </c>
      <c r="T136" s="195">
        <f t="shared" si="92"/>
        <v>-93.093047070895679</v>
      </c>
      <c r="U136" s="195" t="str">
        <f>IMDIV(IMSUM('Small Signal'!$B$75,IMPRODUCT(M136,'Small Signal'!$B$76)),IMSUM(IMPRODUCT('Small Signal'!$B$79,IMPOWER(M136,2)),IMSUM(IMPRODUCT(M136,'Small Signal'!$B$78),'Small Signal'!$B$77)))</f>
        <v>-0.281862083754675-0.361904347627268i</v>
      </c>
      <c r="V136" s="195">
        <f t="shared" si="69"/>
        <v>-6.7691093818821235</v>
      </c>
      <c r="W136" s="195">
        <f t="shared" si="70"/>
        <v>-127.91254038867152</v>
      </c>
      <c r="X136" s="195" t="str">
        <f>IMPRODUCT(IMDIV(IMSUM(IMPRODUCT(M136,'Small Signal'!$B$58*'Small Signal'!$B$6*'Small Signal'!$B$51*'Small Signal'!$B$7*'Small Signal'!$B$8),'Small Signal'!$B$58*'Small Signal'!$B$6*'Small Signal'!$B$51),IMSUM(IMSUM(IMPRODUCT(M136,('Small Signal'!$B$5+'Small Signal'!$B$6)*('Small Signal'!$B$57*'Small Signal'!$B$58)+'Small Signal'!$B$5*'Small Signal'!$B$58*('Small Signal'!$B$8+'Small Signal'!$B$9)+'Small Signal'!$B$6*'Small Signal'!$B$58*('Small Signal'!$B$8+'Small Signal'!$B$9)+'Small Signal'!$B$7*'Small Signal'!$B$8*('Small Signal'!$B$5+'Small Signal'!$B$6)),'Small Signal'!$B$6+'Small Signal'!$B$5),IMPRODUCT(IMPOWER(M136,2),'Small Signal'!$B$57*'Small Signal'!$B$58*'Small Signal'!$B$8*'Small Signal'!$B$7*('Small Signal'!$B$5+'Small Signal'!$B$6)+('Small Signal'!$B$5+'Small Signal'!$B$6)*('Small Signal'!$B$9*'Small Signal'!$B$8*'Small Signal'!$B$58*'Small Signal'!$B$7)))),-1)</f>
        <v>-6.34941403139214+2.28769182814649i</v>
      </c>
      <c r="Y136" s="195">
        <f t="shared" si="71"/>
        <v>16.730108952445512</v>
      </c>
      <c r="Z136" s="195">
        <f t="shared" si="72"/>
        <v>166.60566647640411</v>
      </c>
      <c r="AA136" s="195" t="str">
        <f t="shared" si="73"/>
        <v>1.01049956083109+0.113698255777851i</v>
      </c>
      <c r="AB136" s="195" t="str">
        <f t="shared" si="74"/>
        <v>0.805049992116802+2.72000300221358i</v>
      </c>
      <c r="AC136" s="192">
        <f t="shared" si="75"/>
        <v>9.0560819341110737</v>
      </c>
      <c r="AD136" s="195">
        <f t="shared" si="76"/>
        <v>73.512619405508431</v>
      </c>
      <c r="AE136" s="195" t="str">
        <f t="shared" si="77"/>
        <v>2.61758468814695+1.65306695717648i</v>
      </c>
      <c r="AF136" s="192">
        <f t="shared" si="78"/>
        <v>9.8156402261907978</v>
      </c>
      <c r="AG136" s="195">
        <f t="shared" si="79"/>
        <v>32.273384408754602</v>
      </c>
      <c r="AI136" s="195" t="str">
        <f t="shared" si="80"/>
        <v>0.002-0.027172116584974i</v>
      </c>
      <c r="AJ136" s="195">
        <f t="shared" si="81"/>
        <v>0.22500000000000001</v>
      </c>
      <c r="AK136" s="195" t="str">
        <f t="shared" si="82"/>
        <v>0.0375-54.344233169948i</v>
      </c>
      <c r="AL136" s="195" t="str">
        <f t="shared" si="83"/>
        <v>0.00512774802134454-0.0263060658402125i</v>
      </c>
      <c r="AM136" s="195" t="str">
        <f t="shared" si="84"/>
        <v>0.897949430441674-0.0222850793057202i</v>
      </c>
      <c r="AN136" s="195" t="str">
        <f t="shared" si="85"/>
        <v>0.006+0.253486145641289i</v>
      </c>
      <c r="AO136" s="195" t="str">
        <f t="shared" si="86"/>
        <v>-0.0223023991669238-0.412729506972257i</v>
      </c>
      <c r="AP136" s="195">
        <f t="shared" si="93"/>
        <v>-7.6740270183344403</v>
      </c>
      <c r="AQ136" s="195">
        <f t="shared" si="94"/>
        <v>-93.093047070895679</v>
      </c>
      <c r="AS136" s="195" t="str">
        <f t="shared" si="87"/>
        <v>0.921353732706088-0.0234626660686681i</v>
      </c>
      <c r="AT136" s="195" t="str">
        <f t="shared" si="88"/>
        <v>-0.019882787356836-0.4135948857539i</v>
      </c>
      <c r="AU136" s="195">
        <f t="shared" si="95"/>
        <v>-7.6584717371500757</v>
      </c>
      <c r="AV136" s="195">
        <f t="shared" si="96"/>
        <v>-92.752266728510662</v>
      </c>
    </row>
    <row r="137" spans="6:48" x14ac:dyDescent="0.2">
      <c r="F137" s="195">
        <v>135</v>
      </c>
      <c r="G137" s="210">
        <f t="shared" si="65"/>
        <v>176.8753834836071</v>
      </c>
      <c r="H137" s="210">
        <f t="shared" si="66"/>
        <v>168.57881372500071</v>
      </c>
      <c r="I137" s="196">
        <f t="shared" si="67"/>
        <v>1</v>
      </c>
      <c r="J137" s="195">
        <f t="shared" si="89"/>
        <v>1</v>
      </c>
      <c r="K137" s="195">
        <f t="shared" si="90"/>
        <v>1</v>
      </c>
      <c r="L137" s="195">
        <f>10^('Small Signal'!F137/30)</f>
        <v>31622.77660168384</v>
      </c>
      <c r="M137" s="195" t="str">
        <f t="shared" si="68"/>
        <v>198691.765315922i</v>
      </c>
      <c r="N137" s="195">
        <f>IF(D$32=1, IF(AND('Small Signal'!$B$62&gt;=1,FCCM=0),V137+0,S137+0), 0)</f>
        <v>-8.367253268118839</v>
      </c>
      <c r="O137" s="195">
        <f>IF(D$32=1, IF(AND('Small Signal'!$B$62&gt;=1,FCCM=0),W137,T137), 0)</f>
        <v>-94.593815772666318</v>
      </c>
      <c r="P137" s="195">
        <f>IF(AND('Small Signal'!$B$62&gt;=1,FCCM=0),AF137+0,AC137+0)</f>
        <v>8.341098674557804</v>
      </c>
      <c r="Q137" s="195">
        <f>IF(AND('Small Signal'!$B$62&gt;=1,FCCM=0),AG137,AD137)</f>
        <v>73.053338704814806</v>
      </c>
      <c r="R137" s="195" t="str">
        <f>IMDIV(IMSUM('Small Signal'!$B$2*'Small Signal'!$B$39*'Small Signal'!$B$63,IMPRODUCT(M137,'Small Signal'!$B$2*'Small Signal'!$B$39*'Small Signal'!$B$63*'Small Signal'!$B$14*'Small Signal'!$B$15)),IMSUM(IMPRODUCT('Small Signal'!$B$12*'Small Signal'!$B$14*('Small Signal'!$B$15+'Small Signal'!$B$39),IMPOWER(M137,2)),IMSUM(IMPRODUCT(M137,('Small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-0.0687831955120209-0.356574645662172i</v>
      </c>
      <c r="S137" s="195">
        <f t="shared" si="91"/>
        <v>-8.367253268118839</v>
      </c>
      <c r="T137" s="195">
        <f t="shared" si="92"/>
        <v>-94.593815772666318</v>
      </c>
      <c r="U137" s="195" t="str">
        <f>IMDIV(IMSUM('Small Signal'!$B$75,IMPRODUCT(M137,'Small Signal'!$B$76)),IMSUM(IMPRODUCT('Small Signal'!$B$79,IMPOWER(M137,2)),IMSUM(IMPRODUCT(M137,'Small Signal'!$B$78),'Small Signal'!$B$77)))</f>
        <v>-0.263067582023529-0.30621140690834i</v>
      </c>
      <c r="V137" s="195">
        <f t="shared" si="69"/>
        <v>-7.8789239192703411</v>
      </c>
      <c r="W137" s="195">
        <f t="shared" si="70"/>
        <v>-130.66602194969778</v>
      </c>
      <c r="X137" s="195" t="str">
        <f>IMPRODUCT(IMDIV(IMSUM(IMPRODUCT(M137,'Small Signal'!$B$58*'Small Signal'!$B$6*'Small Signal'!$B$51*'Small Signal'!$B$7*'Small Signal'!$B$8),'Small Signal'!$B$58*'Small Signal'!$B$6*'Small Signal'!$B$51),IMSUM(IMSUM(IMPRODUCT(M137,('Small Signal'!$B$5+'Small Signal'!$B$6)*('Small Signal'!$B$57*'Small Signal'!$B$58)+'Small Signal'!$B$5*'Small Signal'!$B$58*('Small Signal'!$B$8+'Small Signal'!$B$9)+'Small Signal'!$B$6*'Small Signal'!$B$58*('Small Signal'!$B$8+'Small Signal'!$B$9)+'Small Signal'!$B$7*'Small Signal'!$B$8*('Small Signal'!$B$5+'Small Signal'!$B$6)),'Small Signal'!$B$6+'Small Signal'!$B$5),IMPRODUCT(IMPOWER(M137,2),'Small Signal'!$B$57*'Small Signal'!$B$58*'Small Signal'!$B$8*'Small Signal'!$B$7*('Small Signal'!$B$5+'Small Signal'!$B$6)+('Small Signal'!$B$5+'Small Signal'!$B$6)*('Small Signal'!$B$9*'Small Signal'!$B$8*'Small Signal'!$B$58*'Small Signal'!$B$7)))),-1)</f>
        <v>-6.33823919853007+2.21448513118508i</v>
      </c>
      <c r="Y137" s="195">
        <f t="shared" si="71"/>
        <v>16.708351942676646</v>
      </c>
      <c r="Z137" s="195">
        <f t="shared" si="72"/>
        <v>167.64715447748114</v>
      </c>
      <c r="AA137" s="195" t="str">
        <f t="shared" si="73"/>
        <v>1.01222443934809+0.122596560219984i</v>
      </c>
      <c r="AB137" s="195" t="str">
        <f t="shared" si="74"/>
        <v>0.76149255342269+2.49904830397433i</v>
      </c>
      <c r="AC137" s="192">
        <f t="shared" si="75"/>
        <v>8.341098674557804</v>
      </c>
      <c r="AD137" s="195">
        <f t="shared" si="76"/>
        <v>73.053338704814806</v>
      </c>
      <c r="AE137" s="195" t="str">
        <f t="shared" si="77"/>
        <v>2.34548586784184+1.35828189341557i</v>
      </c>
      <c r="AF137" s="192">
        <f t="shared" si="78"/>
        <v>8.6606473763091145</v>
      </c>
      <c r="AG137" s="195">
        <f t="shared" si="79"/>
        <v>30.075333902003976</v>
      </c>
      <c r="AI137" s="195" t="str">
        <f t="shared" si="80"/>
        <v>0.002-0.0251646060522435i</v>
      </c>
      <c r="AJ137" s="195">
        <f t="shared" si="81"/>
        <v>0.22500000000000001</v>
      </c>
      <c r="AK137" s="195" t="str">
        <f t="shared" si="82"/>
        <v>0.0375-50.329212104487i</v>
      </c>
      <c r="AL137" s="195" t="str">
        <f t="shared" si="83"/>
        <v>0.00468530537659538-0.0244115750378142i</v>
      </c>
      <c r="AM137" s="195" t="str">
        <f t="shared" si="84"/>
        <v>0.897857734774874-0.0240604179025033i</v>
      </c>
      <c r="AN137" s="195" t="str">
        <f t="shared" si="85"/>
        <v>0.006+0.273708044057648i</v>
      </c>
      <c r="AO137" s="195" t="str">
        <f t="shared" si="86"/>
        <v>-0.0305648928022368-0.38039949557303i</v>
      </c>
      <c r="AP137" s="195">
        <f t="shared" si="93"/>
        <v>-8.367253268118839</v>
      </c>
      <c r="AQ137" s="195">
        <f t="shared" si="94"/>
        <v>-94.593815772666318</v>
      </c>
      <c r="AS137" s="195" t="str">
        <f t="shared" si="87"/>
        <v>0.921254675935427-0.0253316803053138i</v>
      </c>
      <c r="AT137" s="195" t="str">
        <f t="shared" si="88"/>
        <v>-0.0281641009164257-0.381376128454137i</v>
      </c>
      <c r="AU137" s="195">
        <f t="shared" si="95"/>
        <v>-8.3493094710613907</v>
      </c>
      <c r="AV137" s="195">
        <f t="shared" si="96"/>
        <v>-94.223547529767174</v>
      </c>
    </row>
    <row r="138" spans="6:48" x14ac:dyDescent="0.2">
      <c r="F138" s="195">
        <v>136</v>
      </c>
      <c r="G138" s="210">
        <f t="shared" si="65"/>
        <v>177.48097058276448</v>
      </c>
      <c r="H138" s="210">
        <f t="shared" si="66"/>
        <v>168.57881372500071</v>
      </c>
      <c r="I138" s="196">
        <f t="shared" si="67"/>
        <v>1</v>
      </c>
      <c r="J138" s="195">
        <f t="shared" si="89"/>
        <v>1</v>
      </c>
      <c r="K138" s="195">
        <f t="shared" si="90"/>
        <v>1</v>
      </c>
      <c r="L138" s="195">
        <f>10^('Small Signal'!F138/30)</f>
        <v>34145.488738336011</v>
      </c>
      <c r="M138" s="195" t="str">
        <f t="shared" si="68"/>
        <v>214542.433147179i</v>
      </c>
      <c r="N138" s="195">
        <f>IF(D$32=1, IF(AND('Small Signal'!$B$62&gt;=1,FCCM=0),V138+0,S138+0), 0)</f>
        <v>-9.0685223377181678</v>
      </c>
      <c r="O138" s="195">
        <f>IF(D$32=1, IF(AND('Small Signal'!$B$62&gt;=1,FCCM=0),W138,T138), 0)</f>
        <v>-96.108012922468461</v>
      </c>
      <c r="P138" s="195">
        <f>IF(AND('Small Signal'!$B$62&gt;=1,FCCM=0),AF138+0,AC138+0)</f>
        <v>7.6257200932841034</v>
      </c>
      <c r="Q138" s="195">
        <f>IF(AND('Small Signal'!$B$62&gt;=1,FCCM=0),AG138,AD138)</f>
        <v>72.511452731541326</v>
      </c>
      <c r="R138" s="195" t="str">
        <f>IMDIV(IMSUM('Small Signal'!$B$2*'Small Signal'!$B$39*'Small Signal'!$B$63,IMPRODUCT(M138,'Small Signal'!$B$2*'Small Signal'!$B$39*'Small Signal'!$B$63*'Small Signal'!$B$14*'Small Signal'!$B$15)),IMSUM(IMPRODUCT('Small Signal'!$B$12*'Small Signal'!$B$14*('Small Signal'!$B$15+'Small Signal'!$B$39),IMPOWER(M138,2)),IMSUM(IMPRODUCT(M138,('Small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-0.0741006532415148-0.324082998581896i</v>
      </c>
      <c r="S138" s="195">
        <f t="shared" si="91"/>
        <v>-9.0685223377181678</v>
      </c>
      <c r="T138" s="195">
        <f t="shared" si="92"/>
        <v>-96.108012922468461</v>
      </c>
      <c r="U138" s="195" t="str">
        <f>IMDIV(IMSUM('Small Signal'!$B$75,IMPRODUCT(M138,'Small Signal'!$B$76)),IMSUM(IMPRODUCT('Small Signal'!$B$79,IMPOWER(M138,2)),IMSUM(IMPRODUCT(M138,'Small Signal'!$B$78),'Small Signal'!$B$77)))</f>
        <v>-0.242701690418243-0.258064140115071i</v>
      </c>
      <c r="V138" s="195">
        <f t="shared" si="69"/>
        <v>-9.0135208371057161</v>
      </c>
      <c r="W138" s="195">
        <f t="shared" si="70"/>
        <v>-133.24283626620308</v>
      </c>
      <c r="X138" s="195" t="str">
        <f>IMPRODUCT(IMDIV(IMSUM(IMPRODUCT(M138,'Small Signal'!$B$58*'Small Signal'!$B$6*'Small Signal'!$B$51*'Small Signal'!$B$7*'Small Signal'!$B$8),'Small Signal'!$B$58*'Small Signal'!$B$6*'Small Signal'!$B$51),IMSUM(IMSUM(IMPRODUCT(M138,('Small Signal'!$B$5+'Small Signal'!$B$6)*('Small Signal'!$B$57*'Small Signal'!$B$58)+'Small Signal'!$B$5*'Small Signal'!$B$58*('Small Signal'!$B$8+'Small Signal'!$B$9)+'Small Signal'!$B$6*'Small Signal'!$B$58*('Small Signal'!$B$8+'Small Signal'!$B$9)+'Small Signal'!$B$7*'Small Signal'!$B$8*('Small Signal'!$B$5+'Small Signal'!$B$6)),'Small Signal'!$B$6+'Small Signal'!$B$5),IMPRODUCT(IMPOWER(M138,2),'Small Signal'!$B$57*'Small Signal'!$B$58*'Small Signal'!$B$8*'Small Signal'!$B$7*('Small Signal'!$B$5+'Small Signal'!$B$6)+('Small Signal'!$B$5+'Small Signal'!$B$6)*('Small Signal'!$B$9*'Small Signal'!$B$8*'Small Signal'!$B$58*'Small Signal'!$B$7)))),-1)</f>
        <v>-6.32552623089769+2.15396681804649i</v>
      </c>
      <c r="Y138" s="195">
        <f t="shared" si="71"/>
        <v>16.694242431002255</v>
      </c>
      <c r="Z138" s="195">
        <f t="shared" si="72"/>
        <v>168.61946565400973</v>
      </c>
      <c r="AA138" s="195" t="str">
        <f t="shared" si="73"/>
        <v>1.01422940777324+0.132160851087882i</v>
      </c>
      <c r="AB138" s="195" t="str">
        <f t="shared" si="74"/>
        <v>0.723023454839+2.29473673396396i</v>
      </c>
      <c r="AC138" s="192">
        <f t="shared" si="75"/>
        <v>7.6257200932841034</v>
      </c>
      <c r="AD138" s="195">
        <f t="shared" si="76"/>
        <v>72.511452731541326</v>
      </c>
      <c r="AE138" s="195" t="str">
        <f t="shared" si="77"/>
        <v>2.09107750375937+1.10962009970725i</v>
      </c>
      <c r="AF138" s="192">
        <f t="shared" si="78"/>
        <v>7.4848742352550621</v>
      </c>
      <c r="AG138" s="195">
        <f t="shared" si="79"/>
        <v>27.952439367783178</v>
      </c>
      <c r="AI138" s="195" t="str">
        <f t="shared" si="80"/>
        <v>0.002-0.0233054129509659i</v>
      </c>
      <c r="AJ138" s="195">
        <f t="shared" si="81"/>
        <v>0.22500000000000001</v>
      </c>
      <c r="AK138" s="195" t="str">
        <f t="shared" si="82"/>
        <v>0.0375-46.6108259019318i</v>
      </c>
      <c r="AL138" s="195" t="str">
        <f t="shared" si="83"/>
        <v>0.0043044031073346-0.0226471154808185i</v>
      </c>
      <c r="AM138" s="195" t="str">
        <f t="shared" si="84"/>
        <v>0.897750849119397-0.0259767488708491i</v>
      </c>
      <c r="AN138" s="195" t="str">
        <f t="shared" si="85"/>
        <v>0.006+0.295543147702747i</v>
      </c>
      <c r="AO138" s="195" t="str">
        <f t="shared" si="86"/>
        <v>-0.0374565943782169-0.350026882841138i</v>
      </c>
      <c r="AP138" s="195">
        <f t="shared" si="93"/>
        <v>-9.0685223377181678</v>
      </c>
      <c r="AQ138" s="195">
        <f t="shared" si="94"/>
        <v>-96.108012922468461</v>
      </c>
      <c r="AS138" s="195" t="str">
        <f t="shared" si="87"/>
        <v>0.921139211110268-0.0273490910044028i</v>
      </c>
      <c r="AT138" s="195" t="str">
        <f t="shared" si="88"/>
        <v>-0.0350921210163721-0.351116389264131i</v>
      </c>
      <c r="AU138" s="195">
        <f t="shared" si="95"/>
        <v>-9.0478120192524543</v>
      </c>
      <c r="AV138" s="195">
        <f t="shared" si="96"/>
        <v>-95.707439688158061</v>
      </c>
    </row>
    <row r="139" spans="6:48" x14ac:dyDescent="0.2">
      <c r="F139" s="195">
        <v>137</v>
      </c>
      <c r="G139" s="210">
        <f t="shared" si="65"/>
        <v>177.81857271442351</v>
      </c>
      <c r="H139" s="210">
        <f t="shared" si="66"/>
        <v>168.27597349861833</v>
      </c>
      <c r="I139" s="196">
        <f t="shared" si="67"/>
        <v>1</v>
      </c>
      <c r="J139" s="195">
        <f t="shared" si="89"/>
        <v>1</v>
      </c>
      <c r="K139" s="195">
        <f t="shared" si="90"/>
        <v>1</v>
      </c>
      <c r="L139" s="195">
        <f>10^('Small Signal'!F139/30)</f>
        <v>36869.450645195764</v>
      </c>
      <c r="M139" s="195" t="str">
        <f t="shared" si="68"/>
        <v>231657.590577677i</v>
      </c>
      <c r="N139" s="195">
        <f>IF(D$32=1, IF(AND('Small Signal'!$B$62&gt;=1,FCCM=0),V139+0,S139+0), 0)</f>
        <v>-9.7784113393988772</v>
      </c>
      <c r="O139" s="195">
        <f>IF(D$32=1, IF(AND('Small Signal'!$B$62&gt;=1,FCCM=0),W139,T139), 0)</f>
        <v>-97.640371055207311</v>
      </c>
      <c r="P139" s="195">
        <f>IF(AND('Small Signal'!$B$62&gt;=1,FCCM=0),AF139+0,AC139+0)</f>
        <v>6.9090404434331028</v>
      </c>
      <c r="Q139" s="195">
        <f>IF(AND('Small Signal'!$B$62&gt;=1,FCCM=0),AG139,AD139)</f>
        <v>71.884110909977991</v>
      </c>
      <c r="R139" s="195" t="str">
        <f>IMDIV(IMSUM('Small Signal'!$B$2*'Small Signal'!$B$39*'Small Signal'!$B$63,IMPRODUCT(M139,'Small Signal'!$B$2*'Small Signal'!$B$39*'Small Signal'!$B$63*'Small Signal'!$B$14*'Small Signal'!$B$15)),IMSUM(IMPRODUCT('Small Signal'!$B$12*'Small Signal'!$B$14*('Small Signal'!$B$15+'Small Signal'!$B$39),IMPOWER(M139,2)),IMSUM(IMPRODUCT(M139,('Small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-0.0778382506723257-0.293601452596119i</v>
      </c>
      <c r="S139" s="195">
        <f t="shared" si="91"/>
        <v>-9.7784113393988772</v>
      </c>
      <c r="T139" s="195">
        <f t="shared" si="92"/>
        <v>-97.640371055207311</v>
      </c>
      <c r="U139" s="195" t="str">
        <f>IMDIV(IMSUM('Small Signal'!$B$75,IMPRODUCT(M139,'Small Signal'!$B$76)),IMSUM(IMPRODUCT('Small Signal'!$B$79,IMPOWER(M139,2)),IMSUM(IMPRODUCT(M139,'Small Signal'!$B$78),'Small Signal'!$B$77)))</f>
        <v>-0.221697398488007-0.216799236309814i</v>
      </c>
      <c r="V139" s="195">
        <f t="shared" si="69"/>
        <v>-10.170432796518966</v>
      </c>
      <c r="W139" s="195">
        <f t="shared" si="70"/>
        <v>-135.63998746208108</v>
      </c>
      <c r="X139" s="195" t="str">
        <f>IMPRODUCT(IMDIV(IMSUM(IMPRODUCT(M139,'Small Signal'!$B$58*'Small Signal'!$B$6*'Small Signal'!$B$51*'Small Signal'!$B$7*'Small Signal'!$B$8),'Small Signal'!$B$58*'Small Signal'!$B$6*'Small Signal'!$B$51),IMSUM(IMSUM(IMPRODUCT(M139,('Small Signal'!$B$5+'Small Signal'!$B$6)*('Small Signal'!$B$57*'Small Signal'!$B$58)+'Small Signal'!$B$5*'Small Signal'!$B$58*('Small Signal'!$B$8+'Small Signal'!$B$9)+'Small Signal'!$B$6*'Small Signal'!$B$58*('Small Signal'!$B$8+'Small Signal'!$B$9)+'Small Signal'!$B$7*'Small Signal'!$B$8*('Small Signal'!$B$5+'Small Signal'!$B$6)),'Small Signal'!$B$6+'Small Signal'!$B$5),IMPRODUCT(IMPOWER(M139,2),'Small Signal'!$B$57*'Small Signal'!$B$58*'Small Signal'!$B$8*'Small Signal'!$B$7*('Small Signal'!$B$5+'Small Signal'!$B$6)+('Small Signal'!$B$5+'Small Signal'!$B$6)*('Small Signal'!$B$9*'Small Signal'!$B$8*'Small Signal'!$B$58*'Small Signal'!$B$7)))),-1)</f>
        <v>-6.31099573858979+2.1056890790523i</v>
      </c>
      <c r="Y139" s="195">
        <f t="shared" si="71"/>
        <v>16.687451782831975</v>
      </c>
      <c r="Z139" s="195">
        <f t="shared" si="72"/>
        <v>169.52448196518526</v>
      </c>
      <c r="AA139" s="195" t="str">
        <f t="shared" si="73"/>
        <v>1.01655878851309+0.142433198730102i</v>
      </c>
      <c r="AB139" s="195" t="str">
        <f t="shared" si="74"/>
        <v>0.688856297185547+2.10558097482265i</v>
      </c>
      <c r="AC139" s="192">
        <f t="shared" si="75"/>
        <v>6.9090404434331028</v>
      </c>
      <c r="AD139" s="195">
        <f t="shared" si="76"/>
        <v>71.884110909977991</v>
      </c>
      <c r="AE139" s="195" t="str">
        <f t="shared" si="77"/>
        <v>1.85564312135871+0.901393265630255i</v>
      </c>
      <c r="AF139" s="192">
        <f t="shared" si="78"/>
        <v>6.2899357957776783</v>
      </c>
      <c r="AG139" s="195">
        <f t="shared" si="79"/>
        <v>25.90852887085164</v>
      </c>
      <c r="AI139" s="195" t="str">
        <f t="shared" si="80"/>
        <v>0.002-0.0215835794006648i</v>
      </c>
      <c r="AJ139" s="195">
        <f t="shared" si="81"/>
        <v>0.22500000000000001</v>
      </c>
      <c r="AK139" s="195" t="str">
        <f t="shared" si="82"/>
        <v>0.0375-43.1671588013297i</v>
      </c>
      <c r="AL139" s="195" t="str">
        <f t="shared" si="83"/>
        <v>0.00397665395143194-0.0210050781736933i</v>
      </c>
      <c r="AM139" s="195" t="str">
        <f t="shared" si="84"/>
        <v>0.897626261722047-0.0280451556588851i</v>
      </c>
      <c r="AN139" s="195" t="str">
        <f t="shared" si="85"/>
        <v>0.006+0.319120150285575i</v>
      </c>
      <c r="AO139" s="195" t="str">
        <f t="shared" si="86"/>
        <v>-0.0431303889278665-0.321518965246985i</v>
      </c>
      <c r="AP139" s="195">
        <f t="shared" si="93"/>
        <v>-9.7784113393988772</v>
      </c>
      <c r="AQ139" s="195">
        <f t="shared" si="94"/>
        <v>-97.640371055207311</v>
      </c>
      <c r="AS139" s="195" t="str">
        <f t="shared" si="87"/>
        <v>0.921004625547418-0.0295265544904149i</v>
      </c>
      <c r="AT139" s="195" t="str">
        <f t="shared" si="88"/>
        <v>-0.0408195756443749-0.322721191139484i</v>
      </c>
      <c r="AU139" s="195">
        <f t="shared" si="95"/>
        <v>-9.7545192248521655</v>
      </c>
      <c r="AV139" s="195">
        <f t="shared" si="96"/>
        <v>-97.208808689344551</v>
      </c>
    </row>
    <row r="140" spans="6:48" x14ac:dyDescent="0.2">
      <c r="F140" s="195">
        <v>138</v>
      </c>
      <c r="G140" s="210">
        <f t="shared" si="65"/>
        <v>178.01786242599167</v>
      </c>
      <c r="H140" s="210">
        <f t="shared" si="66"/>
        <v>167.80019351604653</v>
      </c>
      <c r="I140" s="196">
        <f t="shared" si="67"/>
        <v>1</v>
      </c>
      <c r="J140" s="195">
        <f t="shared" si="89"/>
        <v>1</v>
      </c>
      <c r="K140" s="195">
        <f t="shared" si="90"/>
        <v>1</v>
      </c>
      <c r="L140" s="195">
        <f>10^('Small Signal'!F140/30)</f>
        <v>39810.717055349742</v>
      </c>
      <c r="M140" s="195" t="str">
        <f t="shared" si="68"/>
        <v>250138.112470457i</v>
      </c>
      <c r="N140" s="195">
        <f>IF(D$32=1, IF(AND('Small Signal'!$B$62&gt;=1,FCCM=0),V140+0,S140+0), 0)</f>
        <v>-10.49761705425346</v>
      </c>
      <c r="O140" s="195">
        <f>IF(D$32=1, IF(AND('Small Signal'!$B$62&gt;=1,FCCM=0),W140,T140), 0)</f>
        <v>-99.195039301048993</v>
      </c>
      <c r="P140" s="195">
        <f>IF(AND('Small Signal'!$B$62&gt;=1,FCCM=0),AF140+0,AC140+0)</f>
        <v>6.1901436346083694</v>
      </c>
      <c r="Q140" s="195">
        <f>IF(AND('Small Signal'!$B$62&gt;=1,FCCM=0),AG140,AD140)</f>
        <v>71.168669833811606</v>
      </c>
      <c r="R140" s="195" t="str">
        <f>IMDIV(IMSUM('Small Signal'!$B$2*'Small Signal'!$B$39*'Small Signal'!$B$63,IMPRODUCT(M140,'Small Signal'!$B$2*'Small Signal'!$B$39*'Small Signal'!$B$63*'Small Signal'!$B$14*'Small Signal'!$B$15)),IMSUM(IMPRODUCT('Small Signal'!$B$12*'Small Signal'!$B$14*('Small Signal'!$B$15+'Small Signal'!$B$39),IMPOWER(M140,2)),IMSUM(IMPRODUCT(M140,('Small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-0.0801550970534426-0.265087776091743i</v>
      </c>
      <c r="S140" s="195">
        <f t="shared" si="91"/>
        <v>-10.49761705425346</v>
      </c>
      <c r="T140" s="195">
        <f t="shared" si="92"/>
        <v>-99.195039301048993</v>
      </c>
      <c r="U140" s="195" t="str">
        <f>IMDIV(IMSUM('Small Signal'!$B$75,IMPRODUCT(M140,'Small Signal'!$B$76)),IMSUM(IMPRODUCT('Small Signal'!$B$79,IMPOWER(M140,2)),IMSUM(IMPRODUCT(M140,'Small Signal'!$B$78),'Small Signal'!$B$77)))</f>
        <v>-0.200781740903055-0.181701019596342i</v>
      </c>
      <c r="V140" s="195">
        <f t="shared" si="69"/>
        <v>-11.347267960452063</v>
      </c>
      <c r="W140" s="195">
        <f t="shared" si="70"/>
        <v>-137.85591759965521</v>
      </c>
      <c r="X140" s="195" t="str">
        <f>IMPRODUCT(IMDIV(IMSUM(IMPRODUCT(M140,'Small Signal'!$B$58*'Small Signal'!$B$6*'Small Signal'!$B$51*'Small Signal'!$B$7*'Small Signal'!$B$8),'Small Signal'!$B$58*'Small Signal'!$B$6*'Small Signal'!$B$51),IMSUM(IMSUM(IMPRODUCT(M140,('Small Signal'!$B$5+'Small Signal'!$B$6)*('Small Signal'!$B$57*'Small Signal'!$B$58)+'Small Signal'!$B$5*'Small Signal'!$B$58*('Small Signal'!$B$8+'Small Signal'!$B$9)+'Small Signal'!$B$6*'Small Signal'!$B$58*('Small Signal'!$B$8+'Small Signal'!$B$9)+'Small Signal'!$B$7*'Small Signal'!$B$8*('Small Signal'!$B$5+'Small Signal'!$B$6)),'Small Signal'!$B$6+'Small Signal'!$B$5),IMPRODUCT(IMPOWER(M140,2),'Small Signal'!$B$57*'Small Signal'!$B$58*'Small Signal'!$B$8*'Small Signal'!$B$7*('Small Signal'!$B$5+'Small Signal'!$B$6)+('Small Signal'!$B$5+'Small Signal'!$B$6)*('Small Signal'!$B$9*'Small Signal'!$B$8*'Small Signal'!$B$58*'Small Signal'!$B$7)))),-1)</f>
        <v>-6.29433264903986+2.06925375547934i</v>
      </c>
      <c r="Y140" s="195">
        <f t="shared" si="71"/>
        <v>16.687760688861832</v>
      </c>
      <c r="Z140" s="195">
        <f t="shared" si="72"/>
        <v>170.36370913486058</v>
      </c>
      <c r="AA140" s="195" t="str">
        <f t="shared" si="73"/>
        <v>1.01926350898533+0.153456304266895i</v>
      </c>
      <c r="AB140" s="195" t="str">
        <f t="shared" si="74"/>
        <v>0.658291464097621+1.9302580164333i</v>
      </c>
      <c r="AC140" s="192">
        <f t="shared" si="75"/>
        <v>6.1901436346083694</v>
      </c>
      <c r="AD140" s="195">
        <f t="shared" si="76"/>
        <v>71.168669833811606</v>
      </c>
      <c r="AE140" s="195" t="str">
        <f t="shared" si="77"/>
        <v>1.63977258427132+0.72821828861376i</v>
      </c>
      <c r="AF140" s="192">
        <f t="shared" si="78"/>
        <v>5.0774202360527942</v>
      </c>
      <c r="AG140" s="195">
        <f t="shared" si="79"/>
        <v>23.945869308431579</v>
      </c>
      <c r="AI140" s="195" t="str">
        <f t="shared" si="80"/>
        <v>0.002-0.0199889571030106i</v>
      </c>
      <c r="AJ140" s="195">
        <f t="shared" si="81"/>
        <v>0.22500000000000001</v>
      </c>
      <c r="AK140" s="195" t="str">
        <f t="shared" si="82"/>
        <v>0.0375-39.9779142060212i</v>
      </c>
      <c r="AL140" s="195" t="str">
        <f t="shared" si="83"/>
        <v>0.00369476832409962-0.0194780198275439i</v>
      </c>
      <c r="AM140" s="195" t="str">
        <f t="shared" si="84"/>
        <v>0.897481047135879-0.0302775635216755i</v>
      </c>
      <c r="AN140" s="195" t="str">
        <f t="shared" si="85"/>
        <v>0.006+0.34457801207665i</v>
      </c>
      <c r="AO140" s="195" t="str">
        <f t="shared" si="86"/>
        <v>-0.0477182261451098-0.294782937919429i</v>
      </c>
      <c r="AP140" s="195">
        <f t="shared" si="93"/>
        <v>-10.49761705425346</v>
      </c>
      <c r="AQ140" s="195">
        <f t="shared" si="94"/>
        <v>-99.195039301048993</v>
      </c>
      <c r="AS140" s="195" t="str">
        <f t="shared" si="87"/>
        <v>0.920847759949946-0.0318766100156811i</v>
      </c>
      <c r="AT140" s="195" t="str">
        <f t="shared" si="88"/>
        <v>-0.0454782218556448-0.296095874658511i</v>
      </c>
      <c r="AU140" s="195">
        <f t="shared" si="95"/>
        <v>-10.47008922815407</v>
      </c>
      <c r="AV140" s="195">
        <f t="shared" si="96"/>
        <v>-98.731986428801747</v>
      </c>
    </row>
    <row r="141" spans="6:48" x14ac:dyDescent="0.2">
      <c r="F141" s="195">
        <v>139</v>
      </c>
      <c r="G141" s="210">
        <f t="shared" si="65"/>
        <v>178.21400113010594</v>
      </c>
      <c r="H141" s="210">
        <f t="shared" si="66"/>
        <v>167.28746724049176</v>
      </c>
      <c r="I141" s="196">
        <f t="shared" si="67"/>
        <v>1</v>
      </c>
      <c r="J141" s="195">
        <f t="shared" si="89"/>
        <v>1</v>
      </c>
      <c r="K141" s="195">
        <f t="shared" si="90"/>
        <v>1</v>
      </c>
      <c r="L141" s="195">
        <f>10^('Small Signal'!F141/30)</f>
        <v>42986.62347082288</v>
      </c>
      <c r="M141" s="195" t="str">
        <f t="shared" si="68"/>
        <v>270092.920997135i</v>
      </c>
      <c r="N141" s="195">
        <f>IF(D$32=1, IF(AND('Small Signal'!$B$62&gt;=1,FCCM=0),V141+0,S141+0), 0)</f>
        <v>-11.226950370802399</v>
      </c>
      <c r="O141" s="195">
        <f>IF(D$32=1, IF(AND('Small Signal'!$B$62&gt;=1,FCCM=0),W141,T141), 0)</f>
        <v>-100.77545508800083</v>
      </c>
      <c r="P141" s="195">
        <f>IF(AND('Small Signal'!$B$62&gt;=1,FCCM=0),AF141+0,AC141+0)</f>
        <v>5.4680997395828888</v>
      </c>
      <c r="Q141" s="195">
        <f>IF(AND('Small Signal'!$B$62&gt;=1,FCCM=0),AG141,AD141)</f>
        <v>70.362688571879303</v>
      </c>
      <c r="R141" s="195" t="str">
        <f>IMDIV(IMSUM('Small Signal'!$B$2*'Small Signal'!$B$39*'Small Signal'!$B$63,IMPRODUCT(M141,'Small Signal'!$B$2*'Small Signal'!$B$39*'Small Signal'!$B$63*'Small Signal'!$B$14*'Small Signal'!$B$15)),IMSUM(IMPRODUCT('Small Signal'!$B$12*'Small Signal'!$B$14*('Small Signal'!$B$15+'Small Signal'!$B$39),IMPOWER(M141,2)),IMSUM(IMPRODUCT(M141,('Small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-0.0811990837399326-0.23850018996513i</v>
      </c>
      <c r="S141" s="195">
        <f t="shared" si="91"/>
        <v>-11.226950370802399</v>
      </c>
      <c r="T141" s="195">
        <f t="shared" si="92"/>
        <v>-100.77545508800083</v>
      </c>
      <c r="U141" s="195" t="str">
        <f>IMDIV(IMSUM('Small Signal'!$B$75,IMPRODUCT(M141,'Small Signal'!$B$76)),IMSUM(IMPRODUCT('Small Signal'!$B$79,IMPOWER(M141,2)),IMSUM(IMPRODUCT(M141,'Small Signal'!$B$78),'Small Signal'!$B$77)))</f>
        <v>-0.180496263649585-0.152044199918305i</v>
      </c>
      <c r="V141" s="195">
        <f t="shared" si="69"/>
        <v>-12.541733435096244</v>
      </c>
      <c r="W141" s="195">
        <f t="shared" si="70"/>
        <v>-139.89030007192906</v>
      </c>
      <c r="X141" s="195" t="str">
        <f>IMPRODUCT(IMDIV(IMSUM(IMPRODUCT(M141,'Small Signal'!$B$58*'Small Signal'!$B$6*'Small Signal'!$B$51*'Small Signal'!$B$7*'Small Signal'!$B$8),'Small Signal'!$B$58*'Small Signal'!$B$6*'Small Signal'!$B$51),IMSUM(IMSUM(IMPRODUCT(M141,('Small Signal'!$B$5+'Small Signal'!$B$6)*('Small Signal'!$B$57*'Small Signal'!$B$58)+'Small Signal'!$B$5*'Small Signal'!$B$58*('Small Signal'!$B$8+'Small Signal'!$B$9)+'Small Signal'!$B$6*'Small Signal'!$B$58*('Small Signal'!$B$8+'Small Signal'!$B$9)+'Small Signal'!$B$7*'Small Signal'!$B$8*('Small Signal'!$B$5+'Small Signal'!$B$6)),'Small Signal'!$B$6+'Small Signal'!$B$5),IMPRODUCT(IMPOWER(M141,2),'Small Signal'!$B$57*'Small Signal'!$B$58*'Small Signal'!$B$8*'Small Signal'!$B$7*('Small Signal'!$B$5+'Small Signal'!$B$6)+('Small Signal'!$B$5+'Small Signal'!$B$6)*('Small Signal'!$B$9*'Small Signal'!$B$8*'Small Signal'!$B$58*'Small Signal'!$B$7)))),-1)</f>
        <v>-6.27518123448654+2.04430471848276i</v>
      </c>
      <c r="Y141" s="195">
        <f t="shared" si="71"/>
        <v>16.695050110385296</v>
      </c>
      <c r="Z141" s="195">
        <f t="shared" si="72"/>
        <v>171.13814365988014</v>
      </c>
      <c r="AA141" s="195" t="str">
        <f t="shared" si="73"/>
        <v>1.02240194172222+0.165272906498341i</v>
      </c>
      <c r="AB141" s="195" t="str">
        <f t="shared" si="74"/>
        <v>0.630707850818262+1.76759012552949i</v>
      </c>
      <c r="AC141" s="192">
        <f t="shared" si="75"/>
        <v>5.4680997395828888</v>
      </c>
      <c r="AD141" s="195">
        <f t="shared" si="76"/>
        <v>70.362688571879303</v>
      </c>
      <c r="AE141" s="195" t="str">
        <f t="shared" si="77"/>
        <v>1.44347144185974+0.585115546692513i</v>
      </c>
      <c r="AF141" s="192">
        <f t="shared" si="78"/>
        <v>3.8488542715068812</v>
      </c>
      <c r="AG141" s="195">
        <f t="shared" si="79"/>
        <v>22.065323033046432</v>
      </c>
      <c r="AI141" s="195" t="str">
        <f t="shared" si="80"/>
        <v>0.002-0.0185121475288611i</v>
      </c>
      <c r="AJ141" s="195">
        <f t="shared" si="81"/>
        <v>0.22500000000000001</v>
      </c>
      <c r="AK141" s="195" t="str">
        <f t="shared" si="82"/>
        <v>0.0375-37.0242950577223i</v>
      </c>
      <c r="AL141" s="195" t="str">
        <f t="shared" si="83"/>
        <v>0.00345242272957096-0.0180587276473507i</v>
      </c>
      <c r="AM141" s="195" t="str">
        <f t="shared" si="84"/>
        <v>0.897311798671753-0.0326867957736933i</v>
      </c>
      <c r="AN141" s="195" t="str">
        <f t="shared" si="85"/>
        <v>0.006+0.372066778924625i</v>
      </c>
      <c r="AO141" s="195" t="str">
        <f t="shared" si="86"/>
        <v>-0.0513336721538231-0.269728251975363i</v>
      </c>
      <c r="AP141" s="195">
        <f t="shared" si="93"/>
        <v>-11.226950370802399</v>
      </c>
      <c r="AQ141" s="195">
        <f t="shared" si="94"/>
        <v>-100.77545508800083</v>
      </c>
      <c r="AS141" s="195" t="str">
        <f t="shared" si="87"/>
        <v>0.92066493554599-0.0344127381189129i</v>
      </c>
      <c r="AT141" s="195" t="str">
        <f t="shared" si="88"/>
        <v>-0.049181338396404-0.271147922169068i</v>
      </c>
      <c r="AU141" s="195">
        <f t="shared" si="95"/>
        <v>-11.195294086656137</v>
      </c>
      <c r="AV141" s="195">
        <f t="shared" si="96"/>
        <v>-100.28065009102339</v>
      </c>
    </row>
    <row r="142" spans="6:48" x14ac:dyDescent="0.2">
      <c r="F142" s="195">
        <v>140</v>
      </c>
      <c r="G142" s="210">
        <f t="shared" si="65"/>
        <v>178.40273359988319</v>
      </c>
      <c r="H142" s="210">
        <f t="shared" si="66"/>
        <v>166.73510316253311</v>
      </c>
      <c r="I142" s="196">
        <f t="shared" si="67"/>
        <v>1</v>
      </c>
      <c r="J142" s="195">
        <f t="shared" si="89"/>
        <v>1</v>
      </c>
      <c r="K142" s="195">
        <f t="shared" si="90"/>
        <v>1</v>
      </c>
      <c r="L142" s="195">
        <f>10^('Small Signal'!F142/30)</f>
        <v>46415.888336127835</v>
      </c>
      <c r="M142" s="195" t="str">
        <f t="shared" si="68"/>
        <v>291639.627613247i</v>
      </c>
      <c r="N142" s="195">
        <f>IF(D$32=1, IF(AND('Small Signal'!$B$62&gt;=1,FCCM=0),V142+0,S142+0), 0)</f>
        <v>-11.967327641086099</v>
      </c>
      <c r="O142" s="195">
        <f>IF(D$32=1, IF(AND('Small Signal'!$B$62&gt;=1,FCCM=0),W142,T142), 0)</f>
        <v>-102.38420469736562</v>
      </c>
      <c r="P142" s="195">
        <f>IF(AND('Small Signal'!$B$62&gt;=1,FCCM=0),AF142+0,AC142+0)</f>
        <v>4.7419624190637792</v>
      </c>
      <c r="Q142" s="195">
        <f>IF(AND('Small Signal'!$B$62&gt;=1,FCCM=0),AG142,AD142)</f>
        <v>69.463935951693159</v>
      </c>
      <c r="R142" s="195" t="str">
        <f>IMDIV(IMSUM('Small Signal'!$B$2*'Small Signal'!$B$39*'Small Signal'!$B$63,IMPRODUCT(M142,'Small Signal'!$B$2*'Small Signal'!$B$39*'Small Signal'!$B$63*'Small Signal'!$B$14*'Small Signal'!$B$15)),IMSUM(IMPRODUCT('Small Signal'!$B$12*'Small Signal'!$B$14*('Small Signal'!$B$15+'Small Signal'!$B$39),IMPOWER(M142,2)),IMSUM(IMPRODUCT(M142,('Small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-0.0811102428791811-0.213797642236847i</v>
      </c>
      <c r="S142" s="195">
        <f t="shared" si="91"/>
        <v>-11.967327641086099</v>
      </c>
      <c r="T142" s="195">
        <f t="shared" si="92"/>
        <v>-102.38420469736562</v>
      </c>
      <c r="U142" s="195" t="str">
        <f>IMDIV(IMSUM('Small Signal'!$B$75,IMPRODUCT(M142,'Small Signal'!$B$76)),IMSUM(IMPRODUCT('Small Signal'!$B$79,IMPOWER(M142,2)),IMSUM(IMPRODUCT(M142,'Small Signal'!$B$78),'Small Signal'!$B$77)))</f>
        <v>-0.161222444061496-0.127125709505227i</v>
      </c>
      <c r="V142" s="195">
        <f t="shared" si="69"/>
        <v>-13.751650981865396</v>
      </c>
      <c r="W142" s="195">
        <f t="shared" si="70"/>
        <v>-141.74382362077768</v>
      </c>
      <c r="X142" s="195" t="str">
        <f>IMPRODUCT(IMDIV(IMSUM(IMPRODUCT(M142,'Small Signal'!$B$58*'Small Signal'!$B$6*'Small Signal'!$B$51*'Small Signal'!$B$7*'Small Signal'!$B$8),'Small Signal'!$B$58*'Small Signal'!$B$6*'Small Signal'!$B$51),IMSUM(IMSUM(IMPRODUCT(M142,('Small Signal'!$B$5+'Small Signal'!$B$6)*('Small Signal'!$B$57*'Small Signal'!$B$58)+'Small Signal'!$B$5*'Small Signal'!$B$58*('Small Signal'!$B$8+'Small Signal'!$B$9)+'Small Signal'!$B$6*'Small Signal'!$B$58*('Small Signal'!$B$8+'Small Signal'!$B$9)+'Small Signal'!$B$7*'Small Signal'!$B$8*('Small Signal'!$B$5+'Small Signal'!$B$6)),'Small Signal'!$B$6+'Small Signal'!$B$5),IMPRODUCT(IMPOWER(M142,2),'Small Signal'!$B$57*'Small Signal'!$B$58*'Small Signal'!$B$8*'Small Signal'!$B$7*('Small Signal'!$B$5+'Small Signal'!$B$6)+('Small Signal'!$B$5+'Small Signal'!$B$6)*('Small Signal'!$B$9*'Small Signal'!$B$8*'Small Signal'!$B$58*'Small Signal'!$B$7)))),-1)</f>
        <v>-6.25313999212233+2.03051936066647i</v>
      </c>
      <c r="Y142" s="195">
        <f t="shared" si="71"/>
        <v>16.70929006014989</v>
      </c>
      <c r="Z142" s="195">
        <f t="shared" si="72"/>
        <v>171.84814064905882</v>
      </c>
      <c r="AA142" s="195" t="str">
        <f t="shared" si="73"/>
        <v>1.02604079940916+0.177925002447813i</v>
      </c>
      <c r="AB142" s="195" t="str">
        <f t="shared" si="74"/>
        <v>0.605555359456338+1.61652878836287i</v>
      </c>
      <c r="AC142" s="192">
        <f t="shared" si="75"/>
        <v>4.7419624190637792</v>
      </c>
      <c r="AD142" s="195">
        <f t="shared" si="76"/>
        <v>69.463935951693159</v>
      </c>
      <c r="AE142" s="195" t="str">
        <f t="shared" si="77"/>
        <v>1.26627772697747+0.467569564093226i</v>
      </c>
      <c r="AF142" s="192">
        <f t="shared" si="78"/>
        <v>2.6056757916117474</v>
      </c>
      <c r="AG142" s="195">
        <f t="shared" si="79"/>
        <v>20.266528282805027</v>
      </c>
      <c r="AI142" s="195" t="str">
        <f t="shared" si="80"/>
        <v>0.002-0.0171444465243615i</v>
      </c>
      <c r="AJ142" s="195">
        <f t="shared" si="81"/>
        <v>0.22500000000000001</v>
      </c>
      <c r="AK142" s="195" t="str">
        <f t="shared" si="82"/>
        <v>0.0375-34.2888930487229i</v>
      </c>
      <c r="AL142" s="195" t="str">
        <f t="shared" si="83"/>
        <v>0.00324414065456937-0.0167402648916222i</v>
      </c>
      <c r="AM142" s="195" t="str">
        <f t="shared" si="84"/>
        <v>0.897114550031798-0.0352866317382811i</v>
      </c>
      <c r="AN142" s="195" t="str">
        <f t="shared" si="85"/>
        <v>0.006+0.401748466610085i</v>
      </c>
      <c r="AO142" s="195" t="str">
        <f t="shared" si="86"/>
        <v>-0.0540744625267641-0.24626845464041i</v>
      </c>
      <c r="AP142" s="195">
        <f t="shared" si="93"/>
        <v>-11.967327641086099</v>
      </c>
      <c r="AQ142" s="195">
        <f t="shared" si="94"/>
        <v>-102.38420469736562</v>
      </c>
      <c r="AS142" s="195" t="str">
        <f t="shared" si="87"/>
        <v>0.920451869581131-0.0371494205500619i</v>
      </c>
      <c r="AT142" s="195" t="str">
        <f t="shared" si="88"/>
        <v>-0.0520262073184611-0.247788784068694i</v>
      </c>
      <c r="AU142" s="195">
        <f t="shared" si="95"/>
        <v>-11.931012682352264</v>
      </c>
      <c r="AV142" s="195">
        <f t="shared" si="96"/>
        <v>-101.85768909520806</v>
      </c>
    </row>
    <row r="143" spans="6:48" x14ac:dyDescent="0.2">
      <c r="F143" s="195">
        <v>141</v>
      </c>
      <c r="G143" s="210">
        <f t="shared" si="65"/>
        <v>178.57878734903906</v>
      </c>
      <c r="H143" s="210">
        <f t="shared" si="66"/>
        <v>166.14025884019338</v>
      </c>
      <c r="I143" s="196">
        <f t="shared" si="67"/>
        <v>1</v>
      </c>
      <c r="J143" s="195">
        <f t="shared" si="89"/>
        <v>1</v>
      </c>
      <c r="K143" s="195">
        <f t="shared" si="90"/>
        <v>1</v>
      </c>
      <c r="L143" s="195">
        <f>10^('Small Signal'!F143/30)</f>
        <v>50118.723362727294</v>
      </c>
      <c r="M143" s="195" t="str">
        <f t="shared" si="68"/>
        <v>314905.226247286i</v>
      </c>
      <c r="N143" s="195">
        <f>IF(D$32=1, IF(AND('Small Signal'!$B$62&gt;=1,FCCM=0),V143+0,S143+0), 0)</f>
        <v>-12.719757985423399</v>
      </c>
      <c r="O143" s="195">
        <f>IF(D$32=1, IF(AND('Small Signal'!$B$62&gt;=1,FCCM=0),W143,T143), 0)</f>
        <v>-104.02287540620284</v>
      </c>
      <c r="P143" s="195">
        <f>IF(AND('Small Signal'!$B$62&gt;=1,FCCM=0),AF143+0,AC143+0)</f>
        <v>4.0107677412918408</v>
      </c>
      <c r="Q143" s="195">
        <f>IF(AND('Small Signal'!$B$62&gt;=1,FCCM=0),AG143,AD143)</f>
        <v>68.470406488044588</v>
      </c>
      <c r="R143" s="195" t="str">
        <f>IMDIV(IMSUM('Small Signal'!$B$2*'Small Signal'!$B$39*'Small Signal'!$B$63,IMPRODUCT(M143,'Small Signal'!$B$2*'Small Signal'!$B$39*'Small Signal'!$B$63*'Small Signal'!$B$14*'Small Signal'!$B$15)),IMSUM(IMPRODUCT('Small Signal'!$B$12*'Small Signal'!$B$14*('Small Signal'!$B$15+'Small Signal'!$B$39),IMPOWER(M143,2)),IMSUM(IMPRODUCT(M143,('Small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-0.0800235867290123-0.190939140033415i</v>
      </c>
      <c r="S143" s="195">
        <f t="shared" si="91"/>
        <v>-12.719757985423399</v>
      </c>
      <c r="T143" s="195">
        <f t="shared" si="92"/>
        <v>-104.02287540620284</v>
      </c>
      <c r="U143" s="195" t="str">
        <f>IMDIV(IMSUM('Small Signal'!$B$75,IMPRODUCT(M143,'Small Signal'!$B$76)),IMSUM(IMPRODUCT('Small Signal'!$B$79,IMPOWER(M143,2)),IMSUM(IMPRODUCT(M143,'Small Signal'!$B$78),'Small Signal'!$B$77)))</f>
        <v>-0.143208803742449-0.106286539054259i</v>
      </c>
      <c r="V143" s="195">
        <f t="shared" si="69"/>
        <v>-14.974965457647247</v>
      </c>
      <c r="W143" s="195">
        <f t="shared" si="70"/>
        <v>-143.41797835601184</v>
      </c>
      <c r="X143" s="195" t="str">
        <f>IMPRODUCT(IMDIV(IMSUM(IMPRODUCT(M143,'Small Signal'!$B$58*'Small Signal'!$B$6*'Small Signal'!$B$51*'Small Signal'!$B$7*'Small Signal'!$B$8),'Small Signal'!$B$58*'Small Signal'!$B$6*'Small Signal'!$B$51),IMSUM(IMSUM(IMPRODUCT(M143,('Small Signal'!$B$5+'Small Signal'!$B$6)*('Small Signal'!$B$57*'Small Signal'!$B$58)+'Small Signal'!$B$5*'Small Signal'!$B$58*('Small Signal'!$B$8+'Small Signal'!$B$9)+'Small Signal'!$B$6*'Small Signal'!$B$58*('Small Signal'!$B$8+'Small Signal'!$B$9)+'Small Signal'!$B$7*'Small Signal'!$B$8*('Small Signal'!$B$5+'Small Signal'!$B$6)),'Small Signal'!$B$6+'Small Signal'!$B$5),IMPRODUCT(IMPOWER(M143,2),'Small Signal'!$B$57*'Small Signal'!$B$58*'Small Signal'!$B$8*'Small Signal'!$B$7*('Small Signal'!$B$5+'Small Signal'!$B$6)+('Small Signal'!$B$5+'Small Signal'!$B$6)*('Small Signal'!$B$9*'Small Signal'!$B$8*'Small Signal'!$B$58*'Small Signal'!$B$7)))),-1)</f>
        <v>-6.22775650768631+2.02759895650435i</v>
      </c>
      <c r="Y143" s="195">
        <f t="shared" si="71"/>
        <v>16.730525726715214</v>
      </c>
      <c r="Z143" s="195">
        <f t="shared" si="72"/>
        <v>172.49328189424742</v>
      </c>
      <c r="AA143" s="195" t="str">
        <f t="shared" si="73"/>
        <v>1.03025606773304+0.191452842482861i</v>
      </c>
      <c r="AB143" s="195" t="str">
        <f t="shared" si="74"/>
        <v>0.582348344796974+1.4761410653239i</v>
      </c>
      <c r="AC143" s="192">
        <f t="shared" si="75"/>
        <v>4.0107677412918408</v>
      </c>
      <c r="AD143" s="195">
        <f t="shared" si="76"/>
        <v>68.470406488044588</v>
      </c>
      <c r="AE143" s="195" t="str">
        <f t="shared" si="77"/>
        <v>1.10737603514188+0.371556664244191i</v>
      </c>
      <c r="AF143" s="192">
        <f t="shared" si="78"/>
        <v>1.3492135085838464</v>
      </c>
      <c r="AG143" s="195">
        <f t="shared" si="79"/>
        <v>18.548091245391962</v>
      </c>
      <c r="AI143" s="195" t="str">
        <f t="shared" si="80"/>
        <v>0.002-0.0158777930096138i</v>
      </c>
      <c r="AJ143" s="195">
        <f t="shared" si="81"/>
        <v>0.22500000000000001</v>
      </c>
      <c r="AK143" s="195" t="str">
        <f t="shared" si="82"/>
        <v>0.0375-31.7555860192275i</v>
      </c>
      <c r="AL143" s="195" t="str">
        <f t="shared" si="83"/>
        <v>0.00306518572277797-0.0155160011631751i</v>
      </c>
      <c r="AM143" s="195" t="str">
        <f t="shared" si="84"/>
        <v>0.896884684468381-0.0380918658220204i</v>
      </c>
      <c r="AN143" s="195" t="str">
        <f t="shared" si="85"/>
        <v>0.006+0.433798015748812i</v>
      </c>
      <c r="AO143" s="195" t="str">
        <f t="shared" si="86"/>
        <v>-0.0560250336886288-0.224322559123525i</v>
      </c>
      <c r="AP143" s="195">
        <f t="shared" si="93"/>
        <v>-12.719757985423399</v>
      </c>
      <c r="AQ143" s="195">
        <f t="shared" si="94"/>
        <v>-104.02287540620284</v>
      </c>
      <c r="AS143" s="195" t="str">
        <f t="shared" si="87"/>
        <v>0.920203577389392-0.0401022011041752i</v>
      </c>
      <c r="AT143" s="195" t="str">
        <f t="shared" si="88"/>
        <v>-0.0540965658938722-0.225935258643205i</v>
      </c>
      <c r="AU143" s="195">
        <f t="shared" si="95"/>
        <v>-12.678219970567943</v>
      </c>
      <c r="AV143" s="195">
        <f t="shared" si="96"/>
        <v>-103.46506209933176</v>
      </c>
    </row>
    <row r="144" spans="6:48" x14ac:dyDescent="0.2">
      <c r="F144" s="195">
        <v>142</v>
      </c>
      <c r="G144" s="210">
        <f t="shared" si="65"/>
        <v>178.73574014528532</v>
      </c>
      <c r="H144" s="210">
        <f t="shared" si="66"/>
        <v>165.49994425470493</v>
      </c>
      <c r="I144" s="196">
        <f t="shared" si="67"/>
        <v>1</v>
      </c>
      <c r="J144" s="195">
        <f t="shared" si="89"/>
        <v>1</v>
      </c>
      <c r="K144" s="195">
        <f t="shared" si="90"/>
        <v>1</v>
      </c>
      <c r="L144" s="195">
        <f>10^('Small Signal'!F144/30)</f>
        <v>54116.952654646455</v>
      </c>
      <c r="M144" s="195" t="str">
        <f t="shared" si="68"/>
        <v>340026.841789008i</v>
      </c>
      <c r="N144" s="195">
        <f>IF(D$32=1, IF(AND('Small Signal'!$B$62&gt;=1,FCCM=0),V144+0,S144+0), 0)</f>
        <v>-13.485325572839248</v>
      </c>
      <c r="O144" s="195">
        <f>IF(D$32=1, IF(AND('Small Signal'!$B$62&gt;=1,FCCM=0),W144,T144), 0)</f>
        <v>-105.69190421159369</v>
      </c>
      <c r="P144" s="195">
        <f>IF(AND('Small Signal'!$B$62&gt;=1,FCCM=0),AF144+0,AC144+0)</f>
        <v>3.2735347193190378</v>
      </c>
      <c r="Q144" s="195">
        <f>IF(AND('Small Signal'!$B$62&gt;=1,FCCM=0),AG144,AD144)</f>
        <v>67.380340738016045</v>
      </c>
      <c r="R144" s="195" t="str">
        <f>IMDIV(IMSUM('Small Signal'!$B$2*'Small Signal'!$B$39*'Small Signal'!$B$63,IMPRODUCT(M144,'Small Signal'!$B$2*'Small Signal'!$B$39*'Small Signal'!$B$63*'Small Signal'!$B$14*'Small Signal'!$B$15)),IMSUM(IMPRODUCT('Small Signal'!$B$12*'Small Signal'!$B$14*('Small Signal'!$B$15+'Small Signal'!$B$39),IMPOWER(M144,2)),IMSUM(IMPRODUCT(M144,('Small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-0.0780712157129908-0.169882334820342i</v>
      </c>
      <c r="S144" s="195">
        <f t="shared" si="91"/>
        <v>-13.485325572839248</v>
      </c>
      <c r="T144" s="195">
        <f t="shared" si="92"/>
        <v>-105.69190421159369</v>
      </c>
      <c r="U144" s="195" t="str">
        <f>IMDIV(IMSUM('Small Signal'!$B$75,IMPRODUCT(M144,'Small Signal'!$B$76)),IMSUM(IMPRODUCT('Small Signal'!$B$79,IMPOWER(M144,2)),IMSUM(IMPRODUCT(M144,'Small Signal'!$B$78),'Small Signal'!$B$77)))</f>
        <v>-0.126597331015489-0.088925074779095i</v>
      </c>
      <c r="V144" s="195">
        <f t="shared" si="69"/>
        <v>-16.209746763331491</v>
      </c>
      <c r="W144" s="195">
        <f t="shared" si="70"/>
        <v>-144.91485296336231</v>
      </c>
      <c r="X144" s="195" t="str">
        <f>IMPRODUCT(IMDIV(IMSUM(IMPRODUCT(M144,'Small Signal'!$B$58*'Small Signal'!$B$6*'Small Signal'!$B$51*'Small Signal'!$B$7*'Small Signal'!$B$8),'Small Signal'!$B$58*'Small Signal'!$B$6*'Small Signal'!$B$51),IMSUM(IMSUM(IMPRODUCT(M144,('Small Signal'!$B$5+'Small Signal'!$B$6)*('Small Signal'!$B$57*'Small Signal'!$B$58)+'Small Signal'!$B$5*'Small Signal'!$B$58*('Small Signal'!$B$8+'Small Signal'!$B$9)+'Small Signal'!$B$6*'Small Signal'!$B$58*('Small Signal'!$B$8+'Small Signal'!$B$9)+'Small Signal'!$B$7*'Small Signal'!$B$8*('Small Signal'!$B$5+'Small Signal'!$B$6)),'Small Signal'!$B$6+'Small Signal'!$B$5),IMPRODUCT(IMPOWER(M144,2),'Small Signal'!$B$57*'Small Signal'!$B$58*'Small Signal'!$B$8*'Small Signal'!$B$7*('Small Signal'!$B$5+'Small Signal'!$B$6)+('Small Signal'!$B$5+'Small Signal'!$B$6)*('Small Signal'!$B$9*'Small Signal'!$B$8*'Small Signal'!$B$58*'Small Signal'!$B$7)))),-1)</f>
        <v>-6.19852250187343+2.03525763079739i</v>
      </c>
      <c r="Y144" s="195">
        <f t="shared" si="71"/>
        <v>16.758860292158278</v>
      </c>
      <c r="Z144" s="195">
        <f t="shared" si="72"/>
        <v>173.07224494960974</v>
      </c>
      <c r="AA144" s="195" t="str">
        <f t="shared" si="73"/>
        <v>1.03513394883982+0.205893656389271i</v>
      </c>
      <c r="AB144" s="195" t="str">
        <f t="shared" si="74"/>
        <v>0.560660094903604+1.34559783382619i</v>
      </c>
      <c r="AC144" s="192">
        <f t="shared" si="75"/>
        <v>3.2735347193190378</v>
      </c>
      <c r="AD144" s="195">
        <f t="shared" si="76"/>
        <v>67.380340738016045</v>
      </c>
      <c r="AE144" s="195" t="str">
        <f t="shared" si="77"/>
        <v>0.965701841990009+0.293545893011141i</v>
      </c>
      <c r="AF144" s="192">
        <f t="shared" si="78"/>
        <v>8.0672973013095464E-2</v>
      </c>
      <c r="AG144" s="195">
        <f t="shared" si="79"/>
        <v>16.907780028223481</v>
      </c>
      <c r="AI144" s="195" t="str">
        <f t="shared" si="80"/>
        <v>0.002-0.0147047214675557i</v>
      </c>
      <c r="AJ144" s="195">
        <f t="shared" si="81"/>
        <v>0.22500000000000001</v>
      </c>
      <c r="AK144" s="195" t="str">
        <f t="shared" si="82"/>
        <v>0.0375-29.4094429351114i</v>
      </c>
      <c r="AL144" s="195" t="str">
        <f t="shared" si="83"/>
        <v>0.00291146654392153-0.0143796307069047i</v>
      </c>
      <c r="AM144" s="195" t="str">
        <f t="shared" si="84"/>
        <v>0.896616829586425-0.0411183669201103i</v>
      </c>
      <c r="AN144" s="195" t="str">
        <f t="shared" si="85"/>
        <v>0.006+0.468404322872613i</v>
      </c>
      <c r="AO144" s="195" t="str">
        <f t="shared" si="86"/>
        <v>-0.057259012940964-0.203815971828696i</v>
      </c>
      <c r="AP144" s="195">
        <f t="shared" si="93"/>
        <v>-13.485325572839248</v>
      </c>
      <c r="AQ144" s="195">
        <f t="shared" si="94"/>
        <v>-105.69190421159369</v>
      </c>
      <c r="AS144" s="195" t="str">
        <f t="shared" si="87"/>
        <v>0.919914259028976-0.0432877464600782i</v>
      </c>
      <c r="AT144" s="195" t="str">
        <f t="shared" si="88"/>
        <v>-0.055465015219719-0.205510457170342i</v>
      </c>
      <c r="AU144" s="195">
        <f t="shared" si="95"/>
        <v>-13.437971588571113</v>
      </c>
      <c r="AV144" s="195">
        <f t="shared" si="96"/>
        <v>-105.10364814983804</v>
      </c>
    </row>
    <row r="145" spans="6:48" x14ac:dyDescent="0.2">
      <c r="F145" s="195">
        <v>143</v>
      </c>
      <c r="G145" s="210">
        <f t="shared" si="65"/>
        <v>178.86589851857286</v>
      </c>
      <c r="H145" s="210">
        <f t="shared" si="66"/>
        <v>164.81102892339752</v>
      </c>
      <c r="I145" s="196">
        <f t="shared" si="67"/>
        <v>1</v>
      </c>
      <c r="J145" s="195">
        <f t="shared" si="89"/>
        <v>1</v>
      </c>
      <c r="K145" s="195">
        <f t="shared" si="90"/>
        <v>1</v>
      </c>
      <c r="L145" s="195">
        <f>10^('Small Signal'!F145/30)</f>
        <v>58434.141337351764</v>
      </c>
      <c r="M145" s="195" t="str">
        <f t="shared" si="68"/>
        <v>367152.538288504i</v>
      </c>
      <c r="N145" s="195">
        <f>IF(D$32=1, IF(AND('Small Signal'!$B$62&gt;=1,FCCM=0),V145+0,S145+0), 0)</f>
        <v>-14.265166005603152</v>
      </c>
      <c r="O145" s="195">
        <f>IF(D$32=1, IF(AND('Small Signal'!$B$62&gt;=1,FCCM=0),W145,T145), 0)</f>
        <v>-107.39043069698926</v>
      </c>
      <c r="P145" s="195">
        <f>IF(AND('Small Signal'!$B$62&gt;=1,FCCM=0),AF145+0,AC145+0)</f>
        <v>2.529267680644713</v>
      </c>
      <c r="Q145" s="195">
        <f>IF(AND('Small Signal'!$B$62&gt;=1,FCCM=0),AG145,AD145)</f>
        <v>66.19224513973181</v>
      </c>
      <c r="R145" s="195" t="str">
        <f>IMDIV(IMSUM('Small Signal'!$B$2*'Small Signal'!$B$39*'Small Signal'!$B$63,IMPRODUCT(M145,'Small Signal'!$B$2*'Small Signal'!$B$39*'Small Signal'!$B$63*'Small Signal'!$B$14*'Small Signal'!$B$15)),IMSUM(IMPRODUCT('Small Signal'!$B$12*'Small Signal'!$B$14*('Small Signal'!$B$15+'Small Signal'!$B$39),IMPOWER(M145,2)),IMSUM(IMPRODUCT(M145,('Small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-0.0753835333787657-0.150581620438725i</v>
      </c>
      <c r="S145" s="195">
        <f t="shared" si="91"/>
        <v>-14.265166005603152</v>
      </c>
      <c r="T145" s="195">
        <f t="shared" si="92"/>
        <v>-107.39043069698926</v>
      </c>
      <c r="U145" s="195" t="str">
        <f>IMDIV(IMSUM('Small Signal'!$B$75,IMPRODUCT(M145,'Small Signal'!$B$76)),IMSUM(IMPRODUCT('Small Signal'!$B$79,IMPOWER(M145,2)),IMSUM(IMPRODUCT(M145,'Small Signal'!$B$78),'Small Signal'!$B$77)))</f>
        <v>-0.111447660873514-0.0745036688782283i</v>
      </c>
      <c r="V145" s="195">
        <f t="shared" si="69"/>
        <v>-17.454186260701448</v>
      </c>
      <c r="W145" s="195">
        <f t="shared" si="70"/>
        <v>-146.23694994973772</v>
      </c>
      <c r="X145" s="195" t="str">
        <f>IMPRODUCT(IMDIV(IMSUM(IMPRODUCT(M145,'Small Signal'!$B$58*'Small Signal'!$B$6*'Small Signal'!$B$51*'Small Signal'!$B$7*'Small Signal'!$B$8),'Small Signal'!$B$58*'Small Signal'!$B$6*'Small Signal'!$B$51),IMSUM(IMSUM(IMPRODUCT(M145,('Small Signal'!$B$5+'Small Signal'!$B$6)*('Small Signal'!$B$57*'Small Signal'!$B$58)+'Small Signal'!$B$5*'Small Signal'!$B$58*('Small Signal'!$B$8+'Small Signal'!$B$9)+'Small Signal'!$B$6*'Small Signal'!$B$58*('Small Signal'!$B$8+'Small Signal'!$B$9)+'Small Signal'!$B$7*'Small Signal'!$B$8*('Small Signal'!$B$5+'Small Signal'!$B$6)),'Small Signal'!$B$6+'Small Signal'!$B$5),IMPRODUCT(IMPOWER(M145,2),'Small Signal'!$B$57*'Small Signal'!$B$58*'Small Signal'!$B$8*'Small Signal'!$B$7*('Small Signal'!$B$5+'Small Signal'!$B$6)+('Small Signal'!$B$5+'Small Signal'!$B$6)*('Small Signal'!$B$9*'Small Signal'!$B$8*'Small Signal'!$B$58*'Small Signal'!$B$7)))),-1)</f>
        <v>-6.16486934622245+2.05320966761331i</v>
      </c>
      <c r="Y145" s="195">
        <f t="shared" si="71"/>
        <v>16.794433686247849</v>
      </c>
      <c r="Z145" s="195">
        <f t="shared" si="72"/>
        <v>173.58267583672102</v>
      </c>
      <c r="AA145" s="195" t="str">
        <f t="shared" si="73"/>
        <v>1.04077177497956+0.221280063259052i</v>
      </c>
      <c r="AB145" s="195" t="str">
        <f t="shared" si="74"/>
        <v>0.540118338715819+1.22416343793088i</v>
      </c>
      <c r="AC145" s="192">
        <f t="shared" si="75"/>
        <v>2.529267680644713</v>
      </c>
      <c r="AD145" s="195">
        <f t="shared" si="76"/>
        <v>66.19224513973181</v>
      </c>
      <c r="AE145" s="195" t="str">
        <f t="shared" si="77"/>
        <v>0.840031921440761+0.230479969710109i</v>
      </c>
      <c r="AF145" s="192">
        <f t="shared" si="78"/>
        <v>-1.1988718953006396</v>
      </c>
      <c r="AG145" s="195">
        <f t="shared" si="79"/>
        <v>15.342713462897377</v>
      </c>
      <c r="AI145" s="195" t="str">
        <f t="shared" si="80"/>
        <v>0.002-0.0136183179430209i</v>
      </c>
      <c r="AJ145" s="195">
        <f t="shared" si="81"/>
        <v>0.22500000000000001</v>
      </c>
      <c r="AK145" s="195" t="str">
        <f t="shared" si="82"/>
        <v>0.0375-27.2366358860418i</v>
      </c>
      <c r="AL145" s="195" t="str">
        <f t="shared" si="83"/>
        <v>0.00277945248213882-0.0133251813987779i</v>
      </c>
      <c r="AM145" s="195" t="str">
        <f t="shared" si="84"/>
        <v>0.896304735660701-0.0443831370769409i</v>
      </c>
      <c r="AN145" s="195" t="str">
        <f t="shared" si="85"/>
        <v>0.006+0.505771353764776i</v>
      </c>
      <c r="AO145" s="195" t="str">
        <f t="shared" si="86"/>
        <v>-0.0578416415963838-0.184680988662085i</v>
      </c>
      <c r="AP145" s="195">
        <f t="shared" si="93"/>
        <v>-14.265166005603152</v>
      </c>
      <c r="AQ145" s="195">
        <f t="shared" si="94"/>
        <v>-107.39043069698926</v>
      </c>
      <c r="AS145" s="195" t="str">
        <f t="shared" si="87"/>
        <v>0.919577168209818-0.0467239058066018i</v>
      </c>
      <c r="AT145" s="195" t="str">
        <f t="shared" si="88"/>
        <v>-0.0561953684317341-0.186444368893595i</v>
      </c>
      <c r="AU145" s="195">
        <f t="shared" si="95"/>
        <v>-14.211382897332783</v>
      </c>
      <c r="AV145" s="195">
        <f t="shared" si="96"/>
        <v>-106.77309851577984</v>
      </c>
    </row>
    <row r="146" spans="6:48" x14ac:dyDescent="0.2">
      <c r="F146" s="195">
        <v>144</v>
      </c>
      <c r="G146" s="210">
        <f t="shared" si="65"/>
        <v>178.96019927647066</v>
      </c>
      <c r="H146" s="210">
        <f t="shared" si="66"/>
        <v>164.07025375812898</v>
      </c>
      <c r="I146" s="196">
        <f t="shared" si="67"/>
        <v>1</v>
      </c>
      <c r="J146" s="195">
        <f t="shared" si="89"/>
        <v>1</v>
      </c>
      <c r="K146" s="195">
        <f t="shared" si="90"/>
        <v>1</v>
      </c>
      <c r="L146" s="195">
        <f>10^('Small Signal'!F146/30)</f>
        <v>63095.734448019342</v>
      </c>
      <c r="M146" s="195" t="str">
        <f t="shared" si="68"/>
        <v>396442.1916295i</v>
      </c>
      <c r="N146" s="195">
        <f>IF(D$32=1, IF(AND('Small Signal'!$B$62&gt;=1,FCCM=0),V146+0,S146+0), 0)</f>
        <v>-15.060436176406341</v>
      </c>
      <c r="O146" s="195">
        <f>IF(D$32=1, IF(AND('Small Signal'!$B$62&gt;=1,FCCM=0),W146,T146), 0)</f>
        <v>-109.1161642703653</v>
      </c>
      <c r="P146" s="195">
        <f>IF(AND('Small Signal'!$B$62&gt;=1,FCCM=0),AF146+0,AC146+0)</f>
        <v>1.7769603148066826</v>
      </c>
      <c r="Q146" s="195">
        <f>IF(AND('Small Signal'!$B$62&gt;=1,FCCM=0),AG146,AD146)</f>
        <v>64.9049060130436</v>
      </c>
      <c r="R146" s="195" t="str">
        <f>IMDIV(IMSUM('Small Signal'!$B$2*'Small Signal'!$B$39*'Small Signal'!$B$63,IMPRODUCT(M146,'Small Signal'!$B$2*'Small Signal'!$B$39*'Small Signal'!$B$63*'Small Signal'!$B$14*'Small Signal'!$B$15)),IMSUM(IMPRODUCT('Small Signal'!$B$12*'Small Signal'!$B$14*('Small Signal'!$B$15+'Small Signal'!$B$39),IMPOWER(M146,2)),IMSUM(IMPRODUCT(M146,('Small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-0.0720894860198315-0.13298605441654i</v>
      </c>
      <c r="S146" s="195">
        <f t="shared" si="91"/>
        <v>-15.060436176406341</v>
      </c>
      <c r="T146" s="195">
        <f t="shared" si="92"/>
        <v>-109.1161642703653</v>
      </c>
      <c r="U146" s="195" t="str">
        <f>IMDIV(IMSUM('Small Signal'!$B$75,IMPRODUCT(M146,'Small Signal'!$B$76)),IMSUM(IMPRODUCT('Small Signal'!$B$79,IMPOWER(M146,2)),IMSUM(IMPRODUCT(M146,'Small Signal'!$B$78),'Small Signal'!$B$77)))</f>
        <v>-0.0977581596543407-0.0625501515306587i</v>
      </c>
      <c r="V146" s="195">
        <f t="shared" si="69"/>
        <v>-18.706588678515061</v>
      </c>
      <c r="W146" s="195">
        <f t="shared" si="70"/>
        <v>-147.38702358763643</v>
      </c>
      <c r="X146" s="195" t="str">
        <f>IMPRODUCT(IMDIV(IMSUM(IMPRODUCT(M146,'Small Signal'!$B$58*'Small Signal'!$B$6*'Small Signal'!$B$51*'Small Signal'!$B$7*'Small Signal'!$B$8),'Small Signal'!$B$58*'Small Signal'!$B$6*'Small Signal'!$B$51),IMSUM(IMSUM(IMPRODUCT(M146,('Small Signal'!$B$5+'Small Signal'!$B$6)*('Small Signal'!$B$57*'Small Signal'!$B$58)+'Small Signal'!$B$5*'Small Signal'!$B$58*('Small Signal'!$B$8+'Small Signal'!$B$9)+'Small Signal'!$B$6*'Small Signal'!$B$58*('Small Signal'!$B$8+'Small Signal'!$B$9)+'Small Signal'!$B$7*'Small Signal'!$B$8*('Small Signal'!$B$5+'Small Signal'!$B$6)),'Small Signal'!$B$6+'Small Signal'!$B$5),IMPRODUCT(IMPOWER(M146,2),'Small Signal'!$B$57*'Small Signal'!$B$58*'Small Signal'!$B$8*'Small Signal'!$B$7*('Small Signal'!$B$5+'Small Signal'!$B$6)+('Small Signal'!$B$5+'Small Signal'!$B$6)*('Small Signal'!$B$9*'Small Signal'!$B$8*'Small Signal'!$B$58*'Small Signal'!$B$7)))),-1)</f>
        <v>-6.12616444315296+2.08115490291693i</v>
      </c>
      <c r="Y146" s="195">
        <f t="shared" si="71"/>
        <v>16.837396491213013</v>
      </c>
      <c r="Z146" s="195">
        <f t="shared" si="72"/>
        <v>174.0210702834089</v>
      </c>
      <c r="AA146" s="195" t="str">
        <f t="shared" si="73"/>
        <v>1.04727883502707+0.237638116592555i</v>
      </c>
      <c r="AB146" s="195" t="str">
        <f t="shared" si="74"/>
        <v>0.520401685466744+1.11118631491094i</v>
      </c>
      <c r="AC146" s="192">
        <f t="shared" si="75"/>
        <v>1.7769603148066826</v>
      </c>
      <c r="AD146" s="195">
        <f t="shared" si="76"/>
        <v>64.9049060130436</v>
      </c>
      <c r="AE146" s="195" t="str">
        <f t="shared" si="77"/>
        <v>0.729059116238719+0.179742640956184i</v>
      </c>
      <c r="AF146" s="192">
        <f t="shared" si="78"/>
        <v>-2.4884826773909356</v>
      </c>
      <c r="AG146" s="195">
        <f t="shared" si="79"/>
        <v>13.849540196030411</v>
      </c>
      <c r="AI146" s="195" t="str">
        <f t="shared" si="80"/>
        <v>0.002-0.012612179292644i</v>
      </c>
      <c r="AJ146" s="195">
        <f t="shared" si="81"/>
        <v>0.22500000000000001</v>
      </c>
      <c r="AK146" s="195" t="str">
        <f t="shared" si="82"/>
        <v>0.0375-25.2243585852881i</v>
      </c>
      <c r="AL146" s="195" t="str">
        <f t="shared" si="83"/>
        <v>0.00266609945778627-0.0123470166063682i</v>
      </c>
      <c r="AM146" s="195" t="str">
        <f t="shared" si="84"/>
        <v>0.895941135075883-0.0479043679697617i</v>
      </c>
      <c r="AN146" s="195" t="str">
        <f t="shared" si="85"/>
        <v>0.006+0.546119345612066i</v>
      </c>
      <c r="AO146" s="195" t="str">
        <f t="shared" si="86"/>
        <v>-0.057832092592036-0.166856862789693i</v>
      </c>
      <c r="AP146" s="195">
        <f t="shared" si="93"/>
        <v>-15.060436176406341</v>
      </c>
      <c r="AQ146" s="195">
        <f t="shared" si="94"/>
        <v>-109.1161642703653</v>
      </c>
      <c r="AS146" s="195" t="str">
        <f t="shared" si="87"/>
        <v>0.919184460964116-0.0504297676440681i</v>
      </c>
      <c r="AT146" s="195" t="str">
        <f t="shared" si="88"/>
        <v>-0.056344910482831-0.168674028559685i</v>
      </c>
      <c r="AU146" s="195">
        <f t="shared" si="95"/>
        <v>-14.99960171012958</v>
      </c>
      <c r="AV146" s="195">
        <f t="shared" si="96"/>
        <v>-108.47169840192265</v>
      </c>
    </row>
    <row r="147" spans="6:48" x14ac:dyDescent="0.2">
      <c r="F147" s="195">
        <v>145</v>
      </c>
      <c r="G147" s="210">
        <f t="shared" si="65"/>
        <v>179.00814860020532</v>
      </c>
      <c r="H147" s="210">
        <f t="shared" si="66"/>
        <v>163.27424882616481</v>
      </c>
      <c r="I147" s="196">
        <f t="shared" si="67"/>
        <v>1</v>
      </c>
      <c r="J147" s="195">
        <f t="shared" si="89"/>
        <v>1</v>
      </c>
      <c r="K147" s="195">
        <f t="shared" si="90"/>
        <v>1</v>
      </c>
      <c r="L147" s="195">
        <f>10^('Small Signal'!F147/30)</f>
        <v>68129.206905796163</v>
      </c>
      <c r="M147" s="195" t="str">
        <f t="shared" si="68"/>
        <v>428068.431820296i</v>
      </c>
      <c r="N147" s="195">
        <f>IF(D$32=1, IF(AND('Small Signal'!$B$62&gt;=1,FCCM=0),V147+0,S147+0), 0)</f>
        <v>-15.872277370747492</v>
      </c>
      <c r="O147" s="195">
        <f>IF(D$32=1, IF(AND('Small Signal'!$B$62&gt;=1,FCCM=0),W147,T147), 0)</f>
        <v>-110.86527845052125</v>
      </c>
      <c r="P147" s="195">
        <f>IF(AND('Small Signal'!$B$62&gt;=1,FCCM=0),AF147+0,AC147+0)</f>
        <v>1.0156009218711468</v>
      </c>
      <c r="Q147" s="195">
        <f>IF(AND('Small Signal'!$B$62&gt;=1,FCCM=0),AG147,AD147)</f>
        <v>63.517392613687619</v>
      </c>
      <c r="R147" s="195" t="str">
        <f>IMDIV(IMSUM('Small Signal'!$B$2*'Small Signal'!$B$39*'Small Signal'!$B$63,IMPRODUCT(M147,'Small Signal'!$B$2*'Small Signal'!$B$39*'Small Signal'!$B$63*'Small Signal'!$B$14*'Small Signal'!$B$15)),IMSUM(IMPRODUCT('Small Signal'!$B$12*'Small Signal'!$B$14*('Small Signal'!$B$15+'Small Signal'!$B$39),IMPOWER(M147,2)),IMSUM(IMPRODUCT(M147,('Small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-0.0683158487384733-0.117037435020537i</v>
      </c>
      <c r="S147" s="195">
        <f t="shared" si="91"/>
        <v>-15.872277370747492</v>
      </c>
      <c r="T147" s="195">
        <f t="shared" si="92"/>
        <v>-110.86527845052125</v>
      </c>
      <c r="U147" s="195" t="str">
        <f>IMDIV(IMSUM('Small Signal'!$B$75,IMPRODUCT(M147,'Small Signal'!$B$76)),IMSUM(IMPRODUCT('Small Signal'!$B$79,IMPOWER(M147,2)),IMSUM(IMPRODUCT(M147,'Small Signal'!$B$78),'Small Signal'!$B$77)))</f>
        <v>-0.0854835947840241-0.0526558102033073i</v>
      </c>
      <c r="V147" s="195">
        <f t="shared" si="69"/>
        <v>-19.965360501887915</v>
      </c>
      <c r="W147" s="195">
        <f t="shared" si="70"/>
        <v>-148.36794337744377</v>
      </c>
      <c r="X147" s="195" t="str">
        <f>IMPRODUCT(IMDIV(IMSUM(IMPRODUCT(M147,'Small Signal'!$B$58*'Small Signal'!$B$6*'Small Signal'!$B$51*'Small Signal'!$B$7*'Small Signal'!$B$8),'Small Signal'!$B$58*'Small Signal'!$B$6*'Small Signal'!$B$51),IMSUM(IMSUM(IMPRODUCT(M147,('Small Signal'!$B$5+'Small Signal'!$B$6)*('Small Signal'!$B$57*'Small Signal'!$B$58)+'Small Signal'!$B$5*'Small Signal'!$B$58*('Small Signal'!$B$8+'Small Signal'!$B$9)+'Small Signal'!$B$6*'Small Signal'!$B$58*('Small Signal'!$B$8+'Small Signal'!$B$9)+'Small Signal'!$B$7*'Small Signal'!$B$8*('Small Signal'!$B$5+'Small Signal'!$B$6)),'Small Signal'!$B$6+'Small Signal'!$B$5),IMPRODUCT(IMPOWER(M147,2),'Small Signal'!$B$57*'Small Signal'!$B$58*'Small Signal'!$B$8*'Small Signal'!$B$7*('Small Signal'!$B$5+'Small Signal'!$B$6)+('Small Signal'!$B$5+'Small Signal'!$B$6)*('Small Signal'!$B$9*'Small Signal'!$B$8*'Small Signal'!$B$58*'Small Signal'!$B$7)))),-1)</f>
        <v>-6.08170899405264+2.11876198209445i</v>
      </c>
      <c r="Y147" s="195">
        <f t="shared" si="71"/>
        <v>16.887878292618659</v>
      </c>
      <c r="Z147" s="195">
        <f t="shared" si="72"/>
        <v>174.38267106420898</v>
      </c>
      <c r="AA147" s="195" t="str">
        <f t="shared" si="73"/>
        <v>1.05477703562633+0.254984938024241i</v>
      </c>
      <c r="AB147" s="195" t="str">
        <f t="shared" si="74"/>
        <v>0.501236819282343+1.00609023640328i</v>
      </c>
      <c r="AC147" s="192">
        <f t="shared" si="75"/>
        <v>1.0156009218711468</v>
      </c>
      <c r="AD147" s="195">
        <f t="shared" si="76"/>
        <v>63.517392613687619</v>
      </c>
      <c r="AE147" s="195" t="str">
        <f t="shared" si="77"/>
        <v>0.631451476037099+0.139117923781425i</v>
      </c>
      <c r="AF147" s="192">
        <f t="shared" si="78"/>
        <v>-3.787356596019567</v>
      </c>
      <c r="AG147" s="195">
        <f t="shared" si="79"/>
        <v>12.424605688052969</v>
      </c>
      <c r="AI147" s="195" t="str">
        <f t="shared" si="80"/>
        <v>0.002-0.0116803754454358i</v>
      </c>
      <c r="AJ147" s="195">
        <f t="shared" si="81"/>
        <v>0.22500000000000001</v>
      </c>
      <c r="AK147" s="195" t="str">
        <f t="shared" si="82"/>
        <v>0.0375-23.3607508908716i</v>
      </c>
      <c r="AL147" s="195" t="str">
        <f t="shared" si="83"/>
        <v>0.00256878485531608-0.0114398316778121i</v>
      </c>
      <c r="AM147" s="195" t="str">
        <f t="shared" si="84"/>
        <v>0.895517580220344-0.0517014933354342i</v>
      </c>
      <c r="AN147" s="195" t="str">
        <f t="shared" si="85"/>
        <v>0.006+0.589686105058571i</v>
      </c>
      <c r="AO147" s="195" t="str">
        <f t="shared" si="86"/>
        <v>-0.057285626053784-0.15028944601271i</v>
      </c>
      <c r="AP147" s="195">
        <f t="shared" si="93"/>
        <v>-15.872277370747492</v>
      </c>
      <c r="AQ147" s="195">
        <f t="shared" si="94"/>
        <v>-110.86527845052125</v>
      </c>
      <c r="AS147" s="195" t="str">
        <f t="shared" si="87"/>
        <v>0.91872702122423-0.0544257116530495i</v>
      </c>
      <c r="AT147" s="195" t="str">
        <f t="shared" si="88"/>
        <v>-0.0559665249349437-0.152143285171378i</v>
      </c>
      <c r="AU147" s="195">
        <f t="shared" si="95"/>
        <v>-15.803774297106095</v>
      </c>
      <c r="AV147" s="195">
        <f t="shared" si="96"/>
        <v>-110.19625032196973</v>
      </c>
    </row>
    <row r="148" spans="6:48" x14ac:dyDescent="0.2">
      <c r="F148" s="195">
        <v>146</v>
      </c>
      <c r="G148" s="210">
        <f t="shared" si="65"/>
        <v>178.99781518345793</v>
      </c>
      <c r="H148" s="210">
        <f t="shared" si="66"/>
        <v>162.41955834167621</v>
      </c>
      <c r="I148" s="196">
        <f t="shared" si="67"/>
        <v>1</v>
      </c>
      <c r="J148" s="195">
        <f t="shared" si="89"/>
        <v>1</v>
      </c>
      <c r="K148" s="195">
        <f t="shared" si="90"/>
        <v>1</v>
      </c>
      <c r="L148" s="195">
        <f>10^('Small Signal'!F148/30)</f>
        <v>73564.225445964199</v>
      </c>
      <c r="M148" s="195" t="str">
        <f t="shared" si="68"/>
        <v>462217.660456129i</v>
      </c>
      <c r="N148" s="195">
        <f>IF(D$32=1, IF(AND('Small Signal'!$B$62&gt;=1,FCCM=0),V148+0,S148+0), 0)</f>
        <v>-16.701771962139034</v>
      </c>
      <c r="O148" s="195">
        <f>IF(D$32=1, IF(AND('Small Signal'!$B$62&gt;=1,FCCM=0),W148,T148), 0)</f>
        <v>-112.63234665545816</v>
      </c>
      <c r="P148" s="195">
        <f>IF(AND('Small Signal'!$B$62&gt;=1,FCCM=0),AF148+0,AC148+0)</f>
        <v>0.2441780374479173</v>
      </c>
      <c r="Q148" s="195">
        <f>IF(AND('Small Signal'!$B$62&gt;=1,FCCM=0),AG148,AD148)</f>
        <v>62.029045209033889</v>
      </c>
      <c r="R148" s="195" t="str">
        <f>IMDIV(IMSUM('Small Signal'!$B$2*'Small Signal'!$B$39*'Small Signal'!$B$63,IMPRODUCT(M148,'Small Signal'!$B$2*'Small Signal'!$B$39*'Small Signal'!$B$63*'Small Signal'!$B$14*'Small Signal'!$B$15)),IMSUM(IMPRODUCT('Small Signal'!$B$12*'Small Signal'!$B$14*('Small Signal'!$B$15+'Small Signal'!$B$39),IMPOWER(M148,2)),IMSUM(IMPRODUCT(M148,('Small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-0.0641856940531521-0.102668846687351i</v>
      </c>
      <c r="S148" s="195">
        <f t="shared" si="91"/>
        <v>-16.701771962139034</v>
      </c>
      <c r="T148" s="195">
        <f t="shared" si="92"/>
        <v>-112.63234665545816</v>
      </c>
      <c r="U148" s="195" t="str">
        <f>IMDIV(IMSUM('Small Signal'!$B$75,IMPRODUCT(M148,'Small Signal'!$B$76)),IMSUM(IMPRODUCT('Small Signal'!$B$79,IMPOWER(M148,2)),IMSUM(IMPRODUCT(M148,'Small Signal'!$B$78),'Small Signal'!$B$77)))</f>
        <v>-0.0745494391453038-0.0444711028117368i</v>
      </c>
      <c r="V148" s="195">
        <f t="shared" si="69"/>
        <v>-21.228995758190699</v>
      </c>
      <c r="W148" s="195">
        <f t="shared" si="70"/>
        <v>-149.18258443205576</v>
      </c>
      <c r="X148" s="195" t="str">
        <f>IMPRODUCT(IMDIV(IMSUM(IMPRODUCT(M148,'Small Signal'!$B$58*'Small Signal'!$B$6*'Small Signal'!$B$51*'Small Signal'!$B$7*'Small Signal'!$B$8),'Small Signal'!$B$58*'Small Signal'!$B$6*'Small Signal'!$B$51),IMSUM(IMSUM(IMPRODUCT(M148,('Small Signal'!$B$5+'Small Signal'!$B$6)*('Small Signal'!$B$57*'Small Signal'!$B$58)+'Small Signal'!$B$5*'Small Signal'!$B$58*('Small Signal'!$B$8+'Small Signal'!$B$9)+'Small Signal'!$B$6*'Small Signal'!$B$58*('Small Signal'!$B$8+'Small Signal'!$B$9)+'Small Signal'!$B$7*'Small Signal'!$B$8*('Small Signal'!$B$5+'Small Signal'!$B$6)),'Small Signal'!$B$6+'Small Signal'!$B$5),IMPRODUCT(IMPOWER(M148,2),'Small Signal'!$B$57*'Small Signal'!$B$58*'Small Signal'!$B$8*'Small Signal'!$B$7*('Small Signal'!$B$5+'Small Signal'!$B$6)+('Small Signal'!$B$5+'Small Signal'!$B$6)*('Small Signal'!$B$9*'Small Signal'!$B$8*'Small Signal'!$B$58*'Small Signal'!$B$7)))),-1)</f>
        <v>-6.03073782745361+2.16564934127867i</v>
      </c>
      <c r="Y148" s="195">
        <f t="shared" si="71"/>
        <v>16.945949999586954</v>
      </c>
      <c r="Z148" s="195">
        <f t="shared" si="72"/>
        <v>174.66139186449203</v>
      </c>
      <c r="AA148" s="195" t="str">
        <f t="shared" si="73"/>
        <v>1.063401293637+0.273325900465739i</v>
      </c>
      <c r="AB148" s="195" t="str">
        <f t="shared" si="74"/>
        <v>0.482396203126164+0.908365890139805i</v>
      </c>
      <c r="AC148" s="192">
        <f t="shared" si="75"/>
        <v>0.2441780374479173</v>
      </c>
      <c r="AD148" s="195">
        <f t="shared" si="76"/>
        <v>62.029045209033889</v>
      </c>
      <c r="AE148" s="195" t="str">
        <f t="shared" si="77"/>
        <v>0.545896937179208+0.106745618177598i</v>
      </c>
      <c r="AF148" s="192">
        <f t="shared" si="78"/>
        <v>-5.0948236740678716</v>
      </c>
      <c r="AG148" s="195">
        <f t="shared" si="79"/>
        <v>11.064106436966158</v>
      </c>
      <c r="AI148" s="195" t="str">
        <f t="shared" si="80"/>
        <v>0.002-0.0108174144515938i</v>
      </c>
      <c r="AJ148" s="195">
        <f t="shared" si="81"/>
        <v>0.22500000000000001</v>
      </c>
      <c r="AK148" s="195" t="str">
        <f t="shared" si="82"/>
        <v>0.0375-21.6348289031876i</v>
      </c>
      <c r="AL148" s="195" t="str">
        <f t="shared" si="83"/>
        <v>0.00248525061531253-0.0105986464641568i</v>
      </c>
      <c r="AM148" s="195" t="str">
        <f t="shared" si="84"/>
        <v>0.895024256883471-0.0557952349002172i</v>
      </c>
      <c r="AN148" s="195" t="str">
        <f t="shared" si="85"/>
        <v>0.006+0.636728409812014i</v>
      </c>
      <c r="AO148" s="195" t="str">
        <f t="shared" si="86"/>
        <v>-0.0562555075793036-0.134930417089227i</v>
      </c>
      <c r="AP148" s="195">
        <f t="shared" si="93"/>
        <v>-16.701771962139034</v>
      </c>
      <c r="AQ148" s="195">
        <f t="shared" si="94"/>
        <v>-112.63234665545816</v>
      </c>
      <c r="AS148" s="195" t="str">
        <f t="shared" si="87"/>
        <v>0.91819426018498-0.058733452903745i</v>
      </c>
      <c r="AT148" s="195" t="str">
        <f t="shared" si="88"/>
        <v>-0.0551106243528022-0.136802176786945i</v>
      </c>
      <c r="AU148" s="195">
        <f t="shared" si="95"/>
        <v>-16.625004761818143</v>
      </c>
      <c r="AV148" s="195">
        <f t="shared" si="96"/>
        <v>-111.94199303099032</v>
      </c>
    </row>
    <row r="149" spans="6:48" x14ac:dyDescent="0.2">
      <c r="F149" s="195">
        <v>147</v>
      </c>
      <c r="G149" s="210">
        <f t="shared" si="65"/>
        <v>178.91589452045423</v>
      </c>
      <c r="H149" s="210">
        <f t="shared" si="66"/>
        <v>161.50267437641395</v>
      </c>
      <c r="I149" s="196">
        <f t="shared" si="67"/>
        <v>1</v>
      </c>
      <c r="J149" s="195">
        <f t="shared" si="89"/>
        <v>0</v>
      </c>
      <c r="K149" s="195">
        <f t="shared" si="90"/>
        <v>1</v>
      </c>
      <c r="L149" s="195">
        <f>10^('Small Signal'!F149/30)</f>
        <v>79432.823472428237</v>
      </c>
      <c r="M149" s="195" t="str">
        <f t="shared" si="68"/>
        <v>499091.149349751i</v>
      </c>
      <c r="N149" s="195">
        <f>IF(D$32=1, IF(AND('Small Signal'!$B$62&gt;=1,FCCM=0),V149+0,S149+0), 0)</f>
        <v>-17.549894771110154</v>
      </c>
      <c r="O149" s="195">
        <f>IF(D$32=1, IF(AND('Small Signal'!$B$62&gt;=1,FCCM=0),W149,T149), 0)</f>
        <v>-114.41033453528931</v>
      </c>
      <c r="P149" s="195">
        <f>IF(AND('Small Signal'!$B$62&gt;=1,FCCM=0),AF149+0,AC149+0)</f>
        <v>-0.53831470629507905</v>
      </c>
      <c r="Q149" s="195">
        <f>IF(AND('Small Signal'!$B$62&gt;=1,FCCM=0),AG149,AD149)</f>
        <v>60.439446300549925</v>
      </c>
      <c r="R149" s="195" t="str">
        <f>IMDIV(IMSUM('Small Signal'!$B$2*'Small Signal'!$B$39*'Small Signal'!$B$63,IMPRODUCT(M149,'Small Signal'!$B$2*'Small Signal'!$B$39*'Small Signal'!$B$63*'Small Signal'!$B$14*'Small Signal'!$B$15)),IMSUM(IMPRODUCT('Small Signal'!$B$12*'Small Signal'!$B$14*('Small Signal'!$B$15+'Small Signal'!$B$39),IMPOWER(M149,2)),IMSUM(IMPRODUCT(M149,('Small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-0.0598162831208-0.0898039202799663i</v>
      </c>
      <c r="S149" s="195">
        <f t="shared" si="91"/>
        <v>-17.549894771110154</v>
      </c>
      <c r="T149" s="195">
        <f t="shared" si="92"/>
        <v>-114.41033453528931</v>
      </c>
      <c r="U149" s="195" t="str">
        <f>IMDIV(IMSUM('Small Signal'!$B$75,IMPRODUCT(M149,'Small Signal'!$B$76)),IMSUM(IMPRODUCT('Small Signal'!$B$79,IMPOWER(M149,2)),IMSUM(IMPRODUCT(M149,'Small Signal'!$B$78),'Small Signal'!$B$77)))</f>
        <v>-0.0648630879058691-0.037700093493155i</v>
      </c>
      <c r="V149" s="195">
        <f t="shared" si="69"/>
        <v>-22.496060007232771</v>
      </c>
      <c r="W149" s="195">
        <f t="shared" si="70"/>
        <v>-149.8337452078832</v>
      </c>
      <c r="X149" s="195" t="str">
        <f>IMPRODUCT(IMDIV(IMSUM(IMPRODUCT(M149,'Small Signal'!$B$58*'Small Signal'!$B$6*'Small Signal'!$B$51*'Small Signal'!$B$7*'Small Signal'!$B$8),'Small Signal'!$B$58*'Small Signal'!$B$6*'Small Signal'!$B$51),IMSUM(IMSUM(IMPRODUCT(M149,('Small Signal'!$B$5+'Small Signal'!$B$6)*('Small Signal'!$B$57*'Small Signal'!$B$58)+'Small Signal'!$B$5*'Small Signal'!$B$58*('Small Signal'!$B$8+'Small Signal'!$B$9)+'Small Signal'!$B$6*'Small Signal'!$B$58*('Small Signal'!$B$8+'Small Signal'!$B$9)+'Small Signal'!$B$7*'Small Signal'!$B$8*('Small Signal'!$B$5+'Small Signal'!$B$6)),'Small Signal'!$B$6+'Small Signal'!$B$5),IMPRODUCT(IMPOWER(M149,2),'Small Signal'!$B$57*'Small Signal'!$B$58*'Small Signal'!$B$8*'Small Signal'!$B$7*('Small Signal'!$B$5+'Small Signal'!$B$6)+('Small Signal'!$B$5+'Small Signal'!$B$6)*('Small Signal'!$B$9*'Small Signal'!$B$8*'Small Signal'!$B$58*'Small Signal'!$B$7)))),-1)</f>
        <v>-5.97242211950392+2.22136390382446i</v>
      </c>
      <c r="Y149" s="195">
        <f t="shared" si="71"/>
        <v>17.011580064815075</v>
      </c>
      <c r="Z149" s="195">
        <f t="shared" si="72"/>
        <v>174.84978083583925</v>
      </c>
      <c r="AA149" s="195" t="str">
        <f t="shared" si="73"/>
        <v>1.07329952783877+0.292651336655448i</v>
      </c>
      <c r="AB149" s="195" t="str">
        <f t="shared" si="74"/>
        <v>0.46369600027457+0.817562638726537i</v>
      </c>
      <c r="AC149" s="192">
        <f t="shared" si="75"/>
        <v>-0.53831470629507905</v>
      </c>
      <c r="AD149" s="195">
        <f t="shared" si="76"/>
        <v>60.439446300549925</v>
      </c>
      <c r="AE149" s="195" t="str">
        <f t="shared" si="77"/>
        <v>0.471135367804842+0.0810763501211942i</v>
      </c>
      <c r="AF149" s="192">
        <f t="shared" si="78"/>
        <v>-6.4103414864183339</v>
      </c>
      <c r="AG149" s="195">
        <f t="shared" si="79"/>
        <v>9.7642319216935718</v>
      </c>
      <c r="AI149" s="195" t="str">
        <f t="shared" si="80"/>
        <v>0.002-0.0100182101135521i</v>
      </c>
      <c r="AJ149" s="195">
        <f t="shared" si="81"/>
        <v>0.22500000000000001</v>
      </c>
      <c r="AK149" s="195" t="str">
        <f t="shared" si="82"/>
        <v>0.0375-20.0364202271041i</v>
      </c>
      <c r="AL149" s="195" t="str">
        <f t="shared" si="83"/>
        <v>0.00241355362479533-0.00981879499030331i</v>
      </c>
      <c r="AM149" s="195" t="str">
        <f t="shared" si="84"/>
        <v>0.894449769933459-0.0602076386760345i</v>
      </c>
      <c r="AN149" s="195" t="str">
        <f t="shared" si="85"/>
        <v>0.006+0.687523522063432i</v>
      </c>
      <c r="AO149" s="195" t="str">
        <f t="shared" si="86"/>
        <v>-0.0547945998040266-0.120736133445093i</v>
      </c>
      <c r="AP149" s="195">
        <f t="shared" si="93"/>
        <v>-17.549894771110154</v>
      </c>
      <c r="AQ149" s="195">
        <f t="shared" si="94"/>
        <v>-114.41033453528931</v>
      </c>
      <c r="AS149" s="195" t="str">
        <f t="shared" si="87"/>
        <v>0.91757388605467-0.0633760749114026i</v>
      </c>
      <c r="AT149" s="195" t="str">
        <f t="shared" si="88"/>
        <v>-0.0538268042317497-0.122605933878225i</v>
      </c>
      <c r="AU149" s="195">
        <f t="shared" si="95"/>
        <v>-17.464308555520336</v>
      </c>
      <c r="AV149" s="195">
        <f t="shared" si="96"/>
        <v>-113.70257106640743</v>
      </c>
    </row>
    <row r="150" spans="6:48" x14ac:dyDescent="0.2">
      <c r="F150" s="195">
        <v>148</v>
      </c>
      <c r="G150" s="210">
        <f t="shared" si="65"/>
        <v>178.74786026473163</v>
      </c>
      <c r="H150" s="210">
        <f t="shared" si="66"/>
        <v>160.52008090680474</v>
      </c>
      <c r="I150" s="196">
        <f t="shared" si="67"/>
        <v>0</v>
      </c>
      <c r="J150" s="195">
        <f t="shared" si="89"/>
        <v>0</v>
      </c>
      <c r="K150" s="195">
        <f t="shared" si="90"/>
        <v>1</v>
      </c>
      <c r="L150" s="195">
        <f>10^('Small Signal'!F150/30)</f>
        <v>85769.589859089538</v>
      </c>
      <c r="M150" s="195" t="str">
        <f t="shared" si="68"/>
        <v>538906.226805451i</v>
      </c>
      <c r="N150" s="195">
        <f>IF(D$32=1, IF(AND('Small Signal'!$B$62&gt;=1,FCCM=0),V150+0,S150+0), 0)</f>
        <v>-18.417460969470078</v>
      </c>
      <c r="O150" s="195">
        <f>IF(D$32=1, IF(AND('Small Signal'!$B$62&gt;=1,FCCM=0),W150,T150), 0)</f>
        <v>-116.19066279055502</v>
      </c>
      <c r="P150" s="195">
        <f>IF(AND('Small Signal'!$B$62&gt;=1,FCCM=0),AF150+0,AC150+0)</f>
        <v>-1.3328758273320584</v>
      </c>
      <c r="Q150" s="195">
        <f>IF(AND('Small Signal'!$B$62&gt;=1,FCCM=0),AG150,AD150)</f>
        <v>58.748376410289694</v>
      </c>
      <c r="R150" s="195" t="str">
        <f>IMDIV(IMSUM('Small Signal'!$B$2*'Small Signal'!$B$39*'Small Signal'!$B$63,IMPRODUCT(M150,'Small Signal'!$B$2*'Small Signal'!$B$39*'Small Signal'!$B$63*'Small Signal'!$B$14*'Small Signal'!$B$15)),IMSUM(IMPRODUCT('Small Signal'!$B$12*'Small Signal'!$B$14*('Small Signal'!$B$15+'Small Signal'!$B$39),IMPOWER(M150,2)),IMSUM(IMPRODUCT(M150,('Small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-0.0553166914283097-0.0783569490025512i</v>
      </c>
      <c r="S150" s="195">
        <f t="shared" si="91"/>
        <v>-18.417460969470078</v>
      </c>
      <c r="T150" s="195">
        <f t="shared" si="92"/>
        <v>-116.19066279055502</v>
      </c>
      <c r="U150" s="195" t="str">
        <f>IMDIV(IMSUM('Small Signal'!$B$75,IMPRODUCT(M150,'Small Signal'!$B$76)),IMSUM(IMPRODUCT('Small Signal'!$B$79,IMPOWER(M150,2)),IMSUM(IMPRODUCT(M150,'Small Signal'!$B$78),'Small Signal'!$B$77)))</f>
        <v>-0.0563223843706319-0.0320943401065538i</v>
      </c>
      <c r="V150" s="195">
        <f t="shared" si="69"/>
        <v>-23.765173237282479</v>
      </c>
      <c r="W150" s="195">
        <f t="shared" si="70"/>
        <v>-150.32409241071915</v>
      </c>
      <c r="X150" s="195" t="str">
        <f>IMPRODUCT(IMDIV(IMSUM(IMPRODUCT(M150,'Small Signal'!$B$58*'Small Signal'!$B$6*'Small Signal'!$B$51*'Small Signal'!$B$7*'Small Signal'!$B$8),'Small Signal'!$B$58*'Small Signal'!$B$6*'Small Signal'!$B$51),IMSUM(IMSUM(IMPRODUCT(M150,('Small Signal'!$B$5+'Small Signal'!$B$6)*('Small Signal'!$B$57*'Small Signal'!$B$58)+'Small Signal'!$B$5*'Small Signal'!$B$58*('Small Signal'!$B$8+'Small Signal'!$B$9)+'Small Signal'!$B$6*'Small Signal'!$B$58*('Small Signal'!$B$8+'Small Signal'!$B$9)+'Small Signal'!$B$7*'Small Signal'!$B$8*('Small Signal'!$B$5+'Small Signal'!$B$6)),'Small Signal'!$B$6+'Small Signal'!$B$5),IMPRODUCT(IMPOWER(M150,2),'Small Signal'!$B$57*'Small Signal'!$B$58*'Small Signal'!$B$8*'Small Signal'!$B$7*('Small Signal'!$B$5+'Small Signal'!$B$6)+('Small Signal'!$B$5+'Small Signal'!$B$6)*('Small Signal'!$B$9*'Small Signal'!$B$8*'Small Signal'!$B$58*'Small Signal'!$B$7)))),-1)</f>
        <v>-5.90587599745288+2.28535768713103i</v>
      </c>
      <c r="Y150" s="195">
        <f t="shared" si="71"/>
        <v>17.084585142138017</v>
      </c>
      <c r="Z150" s="195">
        <f t="shared" si="72"/>
        <v>174.93903920084469</v>
      </c>
      <c r="AA150" s="195" t="str">
        <f t="shared" si="73"/>
        <v>1.08463208685155+0.312932775039839i</v>
      </c>
      <c r="AB150" s="195" t="str">
        <f t="shared" si="74"/>
        <v>0.444993912110837+0.733280418872399i</v>
      </c>
      <c r="AC150" s="192">
        <f t="shared" si="75"/>
        <v>-1.3328758273320584</v>
      </c>
      <c r="AD150" s="195">
        <f t="shared" si="76"/>
        <v>58.748376410289694</v>
      </c>
      <c r="AE150" s="195" t="str">
        <f t="shared" si="77"/>
        <v>0.405980064849741+0.0608283988104132i</v>
      </c>
      <c r="AF150" s="192">
        <f t="shared" si="78"/>
        <v>-7.7334878881121227</v>
      </c>
      <c r="AG150" s="195">
        <f t="shared" si="79"/>
        <v>8.5212954220798576</v>
      </c>
      <c r="AI150" s="195" t="str">
        <f t="shared" si="80"/>
        <v>0.002-0.00927805200848987i</v>
      </c>
      <c r="AJ150" s="195">
        <f t="shared" si="81"/>
        <v>0.22500000000000001</v>
      </c>
      <c r="AK150" s="195" t="str">
        <f t="shared" si="82"/>
        <v>0.0375-18.5561040169797i</v>
      </c>
      <c r="AL150" s="195" t="str">
        <f t="shared" si="83"/>
        <v>0.00235202257461764-0.00909591315299609i</v>
      </c>
      <c r="AM150" s="195" t="str">
        <f t="shared" si="84"/>
        <v>0.893780897808494-0.0649620976257029i</v>
      </c>
      <c r="AN150" s="195" t="str">
        <f t="shared" si="85"/>
        <v>0.006+0.742370822640162i</v>
      </c>
      <c r="AO150" s="195" t="str">
        <f t="shared" si="86"/>
        <v>-0.0529565341003358-0.10766617590881i</v>
      </c>
      <c r="AP150" s="195">
        <f t="shared" si="93"/>
        <v>-18.417460969470078</v>
      </c>
      <c r="AQ150" s="195">
        <f t="shared" si="94"/>
        <v>-116.19066279055502</v>
      </c>
      <c r="AS150" s="195" t="str">
        <f t="shared" si="87"/>
        <v>0.91685164056421-0.0683780470959103i</v>
      </c>
      <c r="AT150" s="195" t="str">
        <f t="shared" si="88"/>
        <v>-0.0521651314987695-0.109513662225036i</v>
      </c>
      <c r="AU150" s="195">
        <f t="shared" si="95"/>
        <v>-18.322561683511033</v>
      </c>
      <c r="AV150" s="195">
        <f t="shared" si="96"/>
        <v>-115.47006960388774</v>
      </c>
    </row>
    <row r="151" spans="6:48" x14ac:dyDescent="0.2">
      <c r="F151" s="195">
        <v>149</v>
      </c>
      <c r="G151" s="210">
        <f t="shared" si="65"/>
        <v>178.47821509715845</v>
      </c>
      <c r="H151" s="210">
        <f t="shared" si="66"/>
        <v>159.46830988187833</v>
      </c>
      <c r="I151" s="196">
        <f t="shared" si="67"/>
        <v>0</v>
      </c>
      <c r="J151" s="195">
        <f t="shared" si="89"/>
        <v>0</v>
      </c>
      <c r="K151" s="195">
        <f t="shared" si="90"/>
        <v>1</v>
      </c>
      <c r="L151" s="195">
        <f>10^('Small Signal'!F151/30)</f>
        <v>92611.872812879505</v>
      </c>
      <c r="M151" s="195" t="str">
        <f t="shared" si="68"/>
        <v>581897.558528269i</v>
      </c>
      <c r="N151" s="195">
        <f>IF(D$32=1, IF(AND('Small Signal'!$B$62&gt;=1,FCCM=0),V151+0,S151+0), 0)</f>
        <v>-19.305073207582581</v>
      </c>
      <c r="O151" s="195">
        <f>IF(D$32=1, IF(AND('Small Signal'!$B$62&gt;=1,FCCM=0),W151,T151), 0)</f>
        <v>-117.96335127757386</v>
      </c>
      <c r="P151" s="195">
        <f>IF(AND('Small Signal'!$B$62&gt;=1,FCCM=0),AF151+0,AC151+0)</f>
        <v>-2.1404966852532068</v>
      </c>
      <c r="Q151" s="195">
        <f>IF(AND('Small Signal'!$B$62&gt;=1,FCCM=0),AG151,AD151)</f>
        <v>56.955760049784097</v>
      </c>
      <c r="R151" s="195" t="str">
        <f>IMDIV(IMSUM('Small Signal'!$B$2*'Small Signal'!$B$39*'Small Signal'!$B$63,IMPRODUCT(M151,'Small Signal'!$B$2*'Small Signal'!$B$39*'Small Signal'!$B$63*'Small Signal'!$B$14*'Small Signal'!$B$15)),IMSUM(IMPRODUCT('Small Signal'!$B$12*'Small Signal'!$B$14*('Small Signal'!$B$15+'Small Signal'!$B$39),IMPOWER(M151,2)),IMSUM(IMPRODUCT(M151,('Small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-0.0507855041374986-0.0682338736763716i</v>
      </c>
      <c r="S151" s="195">
        <f t="shared" si="91"/>
        <v>-19.305073207582581</v>
      </c>
      <c r="T151" s="195">
        <f t="shared" si="92"/>
        <v>-117.96335127757386</v>
      </c>
      <c r="U151" s="195" t="str">
        <f>IMDIV(IMSUM('Small Signal'!$B$75,IMPRODUCT(M151,'Small Signal'!$B$76)),IMSUM(IMPRODUCT('Small Signal'!$B$79,IMPOWER(M151,2)),IMSUM(IMPRODUCT(M151,'Small Signal'!$B$78),'Small Signal'!$B$77)))</f>
        <v>-0.0488218922134881-0.0274467402051745i</v>
      </c>
      <c r="V151" s="195">
        <f t="shared" si="69"/>
        <v>-25.034992278752327</v>
      </c>
      <c r="W151" s="195">
        <f t="shared" si="70"/>
        <v>-150.65613261359178</v>
      </c>
      <c r="X151" s="195" t="str">
        <f>IMPRODUCT(IMDIV(IMSUM(IMPRODUCT(M151,'Small Signal'!$B$58*'Small Signal'!$B$6*'Small Signal'!$B$51*'Small Signal'!$B$7*'Small Signal'!$B$8),'Small Signal'!$B$58*'Small Signal'!$B$6*'Small Signal'!$B$51),IMSUM(IMSUM(IMPRODUCT(M151,('Small Signal'!$B$5+'Small Signal'!$B$6)*('Small Signal'!$B$57*'Small Signal'!$B$58)+'Small Signal'!$B$5*'Small Signal'!$B$58*('Small Signal'!$B$8+'Small Signal'!$B$9)+'Small Signal'!$B$6*'Small Signal'!$B$58*('Small Signal'!$B$8+'Small Signal'!$B$9)+'Small Signal'!$B$7*'Small Signal'!$B$8*('Small Signal'!$B$5+'Small Signal'!$B$6)),'Small Signal'!$B$6+'Small Signal'!$B$5),IMPRODUCT(IMPOWER(M151,2),'Small Signal'!$B$57*'Small Signal'!$B$58*'Small Signal'!$B$8*'Small Signal'!$B$7*('Small Signal'!$B$5+'Small Signal'!$B$6)+('Small Signal'!$B$5+'Small Signal'!$B$6)*('Small Signal'!$B$9*'Small Signal'!$B$8*'Small Signal'!$B$58*'Small Signal'!$B$7)))),-1)</f>
        <v>-5.83016815072445+2.35696280642399i</v>
      </c>
      <c r="Y151" s="195">
        <f t="shared" si="71"/>
        <v>17.164576522329373</v>
      </c>
      <c r="Z151" s="195">
        <f t="shared" si="72"/>
        <v>174.91911132735794</v>
      </c>
      <c r="AA151" s="195" t="str">
        <f t="shared" si="73"/>
        <v>1.09757041966853+0.334118744822547i</v>
      </c>
      <c r="AB151" s="195" t="str">
        <f t="shared" si="74"/>
        <v>0.426186669797148+0.655161873424261i</v>
      </c>
      <c r="AC151" s="192">
        <f t="shared" si="75"/>
        <v>-2.1404966852532068</v>
      </c>
      <c r="AD151" s="195">
        <f t="shared" si="76"/>
        <v>56.955760049784097</v>
      </c>
      <c r="AE151" s="195" t="str">
        <f t="shared" si="77"/>
        <v>0.349330786862359+0.0449477264989842i</v>
      </c>
      <c r="AF151" s="192">
        <f t="shared" si="78"/>
        <v>-9.0639519056846112</v>
      </c>
      <c r="AG151" s="195">
        <f t="shared" si="79"/>
        <v>7.3318550447597337</v>
      </c>
      <c r="AI151" s="195" t="str">
        <f t="shared" si="80"/>
        <v>0.002-0.00859257772561541i</v>
      </c>
      <c r="AJ151" s="195">
        <f t="shared" si="81"/>
        <v>0.22500000000000001</v>
      </c>
      <c r="AK151" s="195" t="str">
        <f t="shared" si="82"/>
        <v>0.0375-17.1851554512308i</v>
      </c>
      <c r="AL151" s="195" t="str">
        <f t="shared" si="83"/>
        <v>0.00229922051772709-0.00842592513221422i</v>
      </c>
      <c r="AM151" s="195" t="str">
        <f t="shared" si="84"/>
        <v>0.893002312166466-0.070083355642015i</v>
      </c>
      <c r="AN151" s="195" t="str">
        <f t="shared" si="85"/>
        <v>0.006+0.801593575523636i</v>
      </c>
      <c r="AO151" s="195" t="str">
        <f t="shared" si="86"/>
        <v>-0.0507963814066888-0.0956816943926949i</v>
      </c>
      <c r="AP151" s="195">
        <f t="shared" si="93"/>
        <v>-19.305073207582581</v>
      </c>
      <c r="AQ151" s="195">
        <f t="shared" si="94"/>
        <v>-117.96335127757386</v>
      </c>
      <c r="AS151" s="195" t="str">
        <f t="shared" si="87"/>
        <v>0.916010998439776-0.0737652210428371i</v>
      </c>
      <c r="AT151" s="195" t="str">
        <f t="shared" si="88"/>
        <v>-0.0501769830729099-0.097486792072115i</v>
      </c>
      <c r="AU151" s="195">
        <f t="shared" si="95"/>
        <v>-19.200447980378236</v>
      </c>
      <c r="AV151" s="195">
        <f t="shared" si="96"/>
        <v>-117.23512706455053</v>
      </c>
    </row>
    <row r="152" spans="6:48" x14ac:dyDescent="0.2">
      <c r="F152" s="195">
        <v>150</v>
      </c>
      <c r="G152" s="210">
        <f t="shared" si="65"/>
        <v>178.09084756700366</v>
      </c>
      <c r="H152" s="210">
        <f t="shared" si="66"/>
        <v>158.34401096157751</v>
      </c>
      <c r="I152" s="196">
        <f t="shared" si="67"/>
        <v>0</v>
      </c>
      <c r="J152" s="195">
        <f t="shared" si="89"/>
        <v>0</v>
      </c>
      <c r="K152" s="195">
        <f t="shared" si="90"/>
        <v>1</v>
      </c>
      <c r="L152" s="195">
        <f>10^('Small Signal'!F152/30)</f>
        <v>100000</v>
      </c>
      <c r="M152" s="195" t="str">
        <f t="shared" si="68"/>
        <v>628318.530717959i</v>
      </c>
      <c r="N152" s="195">
        <f>IF(D$32=1, IF(AND('Small Signal'!$B$62&gt;=1,FCCM=0),V152+0,S152+0), 0)</f>
        <v>-20.213071293188015</v>
      </c>
      <c r="O152" s="195">
        <f>IF(D$32=1, IF(AND('Small Signal'!$B$62&gt;=1,FCCM=0),W152,T152), 0)</f>
        <v>-119.71724997974565</v>
      </c>
      <c r="P152" s="195">
        <f>IF(AND('Small Signal'!$B$62&gt;=1,FCCM=0),AF152+0,AC152+0)</f>
        <v>-2.9621666492340522</v>
      </c>
      <c r="Q152" s="195">
        <f>IF(AND('Small Signal'!$B$62&gt;=1,FCCM=0),AG152,AD152)</f>
        <v>55.061612005683244</v>
      </c>
      <c r="R152" s="195" t="str">
        <f>IMDIV(IMSUM('Small Signal'!$B$2*'Small Signal'!$B$39*'Small Signal'!$B$63,IMPRODUCT(M152,'Small Signal'!$B$2*'Small Signal'!$B$39*'Small Signal'!$B$63*'Small Signal'!$B$14*'Small Signal'!$B$15)),IMSUM(IMPRODUCT('Small Signal'!$B$12*'Small Signal'!$B$14*('Small Signal'!$B$15+'Small Signal'!$B$39),IMPOWER(M152,2)),IMSUM(IMPRODUCT(M152,('Small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-0.046308885891431-0.0593340267797077i</v>
      </c>
      <c r="S152" s="195">
        <f t="shared" si="91"/>
        <v>-20.213071293188015</v>
      </c>
      <c r="T152" s="195">
        <f t="shared" si="92"/>
        <v>-119.71724997974565</v>
      </c>
      <c r="U152" s="195" t="str">
        <f>IMDIV(IMSUM('Small Signal'!$B$75,IMPRODUCT(M152,'Small Signal'!$B$76)),IMSUM(IMPRODUCT('Small Signal'!$B$79,IMPOWER(M152,2)),IMSUM(IMPRODUCT(M152,'Small Signal'!$B$78),'Small Signal'!$B$77)))</f>
        <v>-0.0422573416566244-0.0235856638212017i</v>
      </c>
      <c r="V152" s="195">
        <f t="shared" si="69"/>
        <v>-26.304193285513989</v>
      </c>
      <c r="W152" s="195">
        <f t="shared" si="70"/>
        <v>-150.83221004031509</v>
      </c>
      <c r="X152" s="195" t="str">
        <f>IMPRODUCT(IMDIV(IMSUM(IMPRODUCT(M152,'Small Signal'!$B$58*'Small Signal'!$B$6*'Small Signal'!$B$51*'Small Signal'!$B$7*'Small Signal'!$B$8),'Small Signal'!$B$58*'Small Signal'!$B$6*'Small Signal'!$B$51),IMSUM(IMSUM(IMPRODUCT(M152,('Small Signal'!$B$5+'Small Signal'!$B$6)*('Small Signal'!$B$57*'Small Signal'!$B$58)+'Small Signal'!$B$5*'Small Signal'!$B$58*('Small Signal'!$B$8+'Small Signal'!$B$9)+'Small Signal'!$B$6*'Small Signal'!$B$58*('Small Signal'!$B$8+'Small Signal'!$B$9)+'Small Signal'!$B$7*'Small Signal'!$B$8*('Small Signal'!$B$5+'Small Signal'!$B$6)),'Small Signal'!$B$6+'Small Signal'!$B$5),IMPRODUCT(IMPOWER(M152,2),'Small Signal'!$B$57*'Small Signal'!$B$58*'Small Signal'!$B$8*'Small Signal'!$B$7*('Small Signal'!$B$5+'Small Signal'!$B$6)+('Small Signal'!$B$5+'Small Signal'!$B$6)*('Small Signal'!$B$9*'Small Signal'!$B$8*'Small Signal'!$B$58*'Small Signal'!$B$7)))),-1)</f>
        <v>-5.74433964867148+2.43536575292322i</v>
      </c>
      <c r="Y152" s="195">
        <f t="shared" si="71"/>
        <v>17.250904643953966</v>
      </c>
      <c r="Z152" s="195">
        <f t="shared" si="72"/>
        <v>174.77886198542885</v>
      </c>
      <c r="AA152" s="195" t="str">
        <f t="shared" si="73"/>
        <v>1.11229476961058+0.356130249020872i</v>
      </c>
      <c r="AB152" s="195" t="str">
        <f t="shared" si="74"/>
        <v>0.407207008573327+0.582884917059326i</v>
      </c>
      <c r="AC152" s="192">
        <f t="shared" si="75"/>
        <v>-2.9621666492340522</v>
      </c>
      <c r="AD152" s="195">
        <f t="shared" si="76"/>
        <v>55.061612005683244</v>
      </c>
      <c r="AE152" s="195" t="str">
        <f t="shared" si="77"/>
        <v>0.300180241055719+0.0325719811482466i</v>
      </c>
      <c r="AF152" s="192">
        <f t="shared" si="78"/>
        <v>-10.40152279669924</v>
      </c>
      <c r="AG152" s="195">
        <f t="shared" si="79"/>
        <v>6.1928259981057554</v>
      </c>
      <c r="AI152" s="195" t="str">
        <f t="shared" si="80"/>
        <v>0.002-0.00795774715459475i</v>
      </c>
      <c r="AJ152" s="195">
        <f t="shared" si="81"/>
        <v>0.22500000000000001</v>
      </c>
      <c r="AK152" s="195" t="str">
        <f t="shared" si="82"/>
        <v>0.0375-15.9154943091895i</v>
      </c>
      <c r="AL152" s="195" t="str">
        <f t="shared" si="83"/>
        <v>0.00225391243131442-0.00780502904740178i</v>
      </c>
      <c r="AM152" s="195" t="str">
        <f t="shared" si="84"/>
        <v>0.892096258949121-0.0755974864961282i</v>
      </c>
      <c r="AN152" s="195" t="str">
        <f t="shared" si="85"/>
        <v>0.006+0.865540833131882i</v>
      </c>
      <c r="AO152" s="195" t="str">
        <f t="shared" si="86"/>
        <v>-0.0483707721324509-0.0847436978960638i</v>
      </c>
      <c r="AP152" s="195">
        <f t="shared" si="93"/>
        <v>-20.213071293188015</v>
      </c>
      <c r="AQ152" s="195">
        <f t="shared" si="94"/>
        <v>-119.71724997974565</v>
      </c>
      <c r="AS152" s="195" t="str">
        <f t="shared" si="87"/>
        <v>0.91503282599811-0.0795647985516194i</v>
      </c>
      <c r="AT152" s="195" t="str">
        <f t="shared" si="88"/>
        <v>-0.0479153717736896-0.0864874167898184i</v>
      </c>
      <c r="AU152" s="195">
        <f t="shared" si="95"/>
        <v>-20.09840756669346</v>
      </c>
      <c r="AV152" s="195">
        <f t="shared" si="96"/>
        <v>-118.98713351868248</v>
      </c>
    </row>
    <row r="153" spans="6:48" x14ac:dyDescent="0.2">
      <c r="F153" s="195">
        <v>151</v>
      </c>
      <c r="G153" s="210">
        <f t="shared" si="65"/>
        <v>177.56949312051938</v>
      </c>
      <c r="H153" s="210">
        <f t="shared" si="66"/>
        <v>157.14403638618376</v>
      </c>
      <c r="I153" s="196">
        <f t="shared" si="67"/>
        <v>0</v>
      </c>
      <c r="J153" s="195">
        <f t="shared" si="89"/>
        <v>0</v>
      </c>
      <c r="K153" s="195">
        <f t="shared" si="90"/>
        <v>1</v>
      </c>
      <c r="L153" s="195">
        <f>10^('Small Signal'!F153/30)</f>
        <v>107977.51623277101</v>
      </c>
      <c r="M153" s="195" t="str">
        <f t="shared" si="68"/>
        <v>678442.743499492i</v>
      </c>
      <c r="N153" s="195">
        <f>IF(D$32=1, IF(AND('Small Signal'!$B$62&gt;=1,FCCM=0),V153+0,S153+0), 0)</f>
        <v>-21.141488117983251</v>
      </c>
      <c r="O153" s="195">
        <f>IF(D$32=1, IF(AND('Small Signal'!$B$62&gt;=1,FCCM=0),W153,T153), 0)</f>
        <v>-121.44035548783353</v>
      </c>
      <c r="P153" s="195">
        <f>IF(AND('Small Signal'!$B$62&gt;=1,FCCM=0),AF153+0,AC153+0)</f>
        <v>-3.7988831224665374</v>
      </c>
      <c r="Q153" s="195">
        <f>IF(AND('Small Signal'!$B$62&gt;=1,FCCM=0),AG153,AD153)</f>
        <v>53.065997946414122</v>
      </c>
      <c r="R153" s="195" t="str">
        <f>IMDIV(IMSUM('Small Signal'!$B$2*'Small Signal'!$B$39*'Small Signal'!$B$63,IMPRODUCT(M153,'Small Signal'!$B$2*'Small Signal'!$B$39*'Small Signal'!$B$63*'Small Signal'!$B$14*'Small Signal'!$B$15)),IMSUM(IMPRODUCT('Small Signal'!$B$12*'Small Signal'!$B$14*('Small Signal'!$B$15+'Small Signal'!$B$39),IMPOWER(M153,2)),IMSUM(IMPRODUCT(M153,('Small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-0.0419592534713175-0.0515524269667596i</v>
      </c>
      <c r="S153" s="195">
        <f t="shared" si="91"/>
        <v>-21.141488117983251</v>
      </c>
      <c r="T153" s="195">
        <f t="shared" si="92"/>
        <v>-121.44035548783353</v>
      </c>
      <c r="U153" s="195" t="str">
        <f>IMDIV(IMSUM('Small Signal'!$B$75,IMPRODUCT(M153,'Small Signal'!$B$76)),IMSUM(IMPRODUCT('Small Signal'!$B$79,IMPOWER(M153,2)),IMSUM(IMPRODUCT(M153,'Small Signal'!$B$78),'Small Signal'!$B$77)))</f>
        <v>-0.0365286381739766-0.0203695658699207i</v>
      </c>
      <c r="V153" s="195">
        <f t="shared" si="69"/>
        <v>-27.571454806041441</v>
      </c>
      <c r="W153" s="195">
        <f t="shared" si="70"/>
        <v>-150.85452999078868</v>
      </c>
      <c r="X153" s="195" t="str">
        <f>IMPRODUCT(IMDIV(IMSUM(IMPRODUCT(M153,'Small Signal'!$B$58*'Small Signal'!$B$6*'Small Signal'!$B$51*'Small Signal'!$B$7*'Small Signal'!$B$8),'Small Signal'!$B$58*'Small Signal'!$B$6*'Small Signal'!$B$51),IMSUM(IMSUM(IMPRODUCT(M153,('Small Signal'!$B$5+'Small Signal'!$B$6)*('Small Signal'!$B$57*'Small Signal'!$B$58)+'Small Signal'!$B$5*'Small Signal'!$B$58*('Small Signal'!$B$8+'Small Signal'!$B$9)+'Small Signal'!$B$6*'Small Signal'!$B$58*('Small Signal'!$B$8+'Small Signal'!$B$9)+'Small Signal'!$B$7*'Small Signal'!$B$8*('Small Signal'!$B$5+'Small Signal'!$B$6)),'Small Signal'!$B$6+'Small Signal'!$B$5),IMPRODUCT(IMPOWER(M153,2),'Small Signal'!$B$57*'Small Signal'!$B$58*'Small Signal'!$B$8*'Small Signal'!$B$7*('Small Signal'!$B$5+'Small Signal'!$B$6)+('Small Signal'!$B$5+'Small Signal'!$B$6)*('Small Signal'!$B$9*'Small Signal'!$B$8*'Small Signal'!$B$58*'Small Signal'!$B$7)))),-1)</f>
        <v>-5.64742913163115+2.51958231550003i</v>
      </c>
      <c r="Y153" s="195">
        <f t="shared" si="71"/>
        <v>17.342604995516716</v>
      </c>
      <c r="Z153" s="195">
        <f t="shared" si="72"/>
        <v>174.50635343424773</v>
      </c>
      <c r="AA153" s="195" t="str">
        <f t="shared" si="73"/>
        <v>1.12899065871119+0.378856080706236i</v>
      </c>
      <c r="AB153" s="195" t="str">
        <f t="shared" si="74"/>
        <v>0.388020088693201+0.516155998277957i</v>
      </c>
      <c r="AC153" s="192">
        <f t="shared" si="75"/>
        <v>-3.7988831224665374</v>
      </c>
      <c r="AD153" s="195">
        <f t="shared" si="76"/>
        <v>53.065997946414122</v>
      </c>
      <c r="AE153" s="195" t="str">
        <f t="shared" si="77"/>
        <v>0.257615693302794+0.022998768940019i</v>
      </c>
      <c r="AF153" s="192">
        <f t="shared" si="78"/>
        <v>-11.746077130214774</v>
      </c>
      <c r="AG153" s="195">
        <f t="shared" si="79"/>
        <v>5.1015844491215079</v>
      </c>
      <c r="AI153" s="195" t="str">
        <f t="shared" si="80"/>
        <v>0.002-0.00736981867358385i</v>
      </c>
      <c r="AJ153" s="195">
        <f t="shared" si="81"/>
        <v>0.22500000000000001</v>
      </c>
      <c r="AK153" s="195" t="str">
        <f t="shared" si="82"/>
        <v>0.0375-14.7396373471677i</v>
      </c>
      <c r="AL153" s="195" t="str">
        <f t="shared" si="83"/>
        <v>0.00221503715544562-0.00722968226574934i</v>
      </c>
      <c r="AM153" s="195" t="str">
        <f t="shared" si="84"/>
        <v>0.891042197180291-0.0815318398517115i</v>
      </c>
      <c r="AN153" s="195" t="str">
        <f t="shared" si="85"/>
        <v>0.006+0.934589493596239i</v>
      </c>
      <c r="AO153" s="195" t="str">
        <f t="shared" si="86"/>
        <v>-0.0457374635927796-0.0748114552653248i</v>
      </c>
      <c r="AP153" s="195">
        <f t="shared" si="93"/>
        <v>-21.141488117983251</v>
      </c>
      <c r="AQ153" s="195">
        <f t="shared" si="94"/>
        <v>-121.44035548783353</v>
      </c>
      <c r="AS153" s="195" t="str">
        <f t="shared" si="87"/>
        <v>0.913894995158716-0.08580526275538i</v>
      </c>
      <c r="AT153" s="195" t="str">
        <f t="shared" si="88"/>
        <v>-0.0454347366852811-0.0764766728027909i</v>
      </c>
      <c r="AU153" s="195">
        <f t="shared" si="95"/>
        <v>-21.016590109624914</v>
      </c>
      <c r="AV153" s="195">
        <f t="shared" si="96"/>
        <v>-120.71451659911433</v>
      </c>
    </row>
    <row r="154" spans="6:48" x14ac:dyDescent="0.2">
      <c r="F154" s="195">
        <v>152</v>
      </c>
      <c r="G154" s="210">
        <f t="shared" si="65"/>
        <v>176.89828770094636</v>
      </c>
      <c r="H154" s="210">
        <f t="shared" si="66"/>
        <v>155.86554203234112</v>
      </c>
      <c r="I154" s="196">
        <f t="shared" si="67"/>
        <v>0</v>
      </c>
      <c r="J154" s="195">
        <f t="shared" si="89"/>
        <v>0</v>
      </c>
      <c r="K154" s="195">
        <f t="shared" si="90"/>
        <v>1</v>
      </c>
      <c r="L154" s="195">
        <f>10^('Small Signal'!F154/30)</f>
        <v>116591.44011798326</v>
      </c>
      <c r="M154" s="195" t="str">
        <f t="shared" si="68"/>
        <v>732565.623492221i</v>
      </c>
      <c r="N154" s="195">
        <f>IF(D$32=1, IF(AND('Small Signal'!$B$62&gt;=1,FCCM=0),V154+0,S154+0), 0)</f>
        <v>-22.090015502707434</v>
      </c>
      <c r="O154" s="195">
        <f>IF(D$32=1, IF(AND('Small Signal'!$B$62&gt;=1,FCCM=0),W154,T154), 0)</f>
        <v>-123.12020379210276</v>
      </c>
      <c r="P154" s="195">
        <f>IF(AND('Small Signal'!$B$62&gt;=1,FCCM=0),AF154+0,AC154+0)</f>
        <v>-4.6516658328921228</v>
      </c>
      <c r="Q154" s="195">
        <f>IF(AND('Small Signal'!$B$62&gt;=1,FCCM=0),AG154,AD154)</f>
        <v>50.969025386886436</v>
      </c>
      <c r="R154" s="195" t="str">
        <f>IMDIV(IMSUM('Small Signal'!$B$2*'Small Signal'!$B$39*'Small Signal'!$B$63,IMPRODUCT(M154,'Small Signal'!$B$2*'Small Signal'!$B$39*'Small Signal'!$B$63*'Small Signal'!$B$14*'Small Signal'!$B$15)),IMSUM(IMPRODUCT('Small Signal'!$B$12*'Small Signal'!$B$14*('Small Signal'!$B$15+'Small Signal'!$B$39),IMPOWER(M154,2)),IMSUM(IMPRODUCT(M154,('Small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-0.0377946753150939-0.0447823611204363i</v>
      </c>
      <c r="S154" s="195">
        <f t="shared" si="91"/>
        <v>-22.090015502707434</v>
      </c>
      <c r="T154" s="195">
        <f t="shared" si="92"/>
        <v>-123.12020379210276</v>
      </c>
      <c r="U154" s="195" t="str">
        <f>IMDIV(IMSUM('Small Signal'!$B$75,IMPRODUCT(M154,'Small Signal'!$B$76)),IMSUM(IMPRODUCT('Small Signal'!$B$79,IMPOWER(M154,2)),IMSUM(IMPRODUCT(M154,'Small Signal'!$B$78),'Small Signal'!$B$77)))</f>
        <v>-0.0315417694593273-0.0176821730833347i</v>
      </c>
      <c r="V154" s="195">
        <f t="shared" si="69"/>
        <v>-28.835441974777982</v>
      </c>
      <c r="W154" s="195">
        <f t="shared" si="70"/>
        <v>-150.72520740857192</v>
      </c>
      <c r="X154" s="195" t="str">
        <f>IMPRODUCT(IMDIV(IMSUM(IMPRODUCT(M154,'Small Signal'!$B$58*'Small Signal'!$B$6*'Small Signal'!$B$51*'Small Signal'!$B$7*'Small Signal'!$B$8),'Small Signal'!$B$58*'Small Signal'!$B$6*'Small Signal'!$B$51),IMSUM(IMSUM(IMPRODUCT(M154,('Small Signal'!$B$5+'Small Signal'!$B$6)*('Small Signal'!$B$57*'Small Signal'!$B$58)+'Small Signal'!$B$5*'Small Signal'!$B$58*('Small Signal'!$B$8+'Small Signal'!$B$9)+'Small Signal'!$B$6*'Small Signal'!$B$58*('Small Signal'!$B$8+'Small Signal'!$B$9)+'Small Signal'!$B$7*'Small Signal'!$B$8*('Small Signal'!$B$5+'Small Signal'!$B$6)),'Small Signal'!$B$6+'Small Signal'!$B$5),IMPRODUCT(IMPOWER(M154,2),'Small Signal'!$B$57*'Small Signal'!$B$58*'Small Signal'!$B$8*'Small Signal'!$B$7*('Small Signal'!$B$5+'Small Signal'!$B$6)+('Small Signal'!$B$5+'Small Signal'!$B$6)*('Small Signal'!$B$9*'Small Signal'!$B$8*'Small Signal'!$B$58*'Small Signal'!$B$7)))),-1)</f>
        <v>-5.53850634298347+2.60843509027587i</v>
      </c>
      <c r="Y154" s="195">
        <f t="shared" si="71"/>
        <v>17.438349669815317</v>
      </c>
      <c r="Z154" s="195">
        <f t="shared" si="72"/>
        <v>174.0892291789892</v>
      </c>
      <c r="AA154" s="195" t="str">
        <f t="shared" si="73"/>
        <v>1.14784393685924+0.402148253456994i</v>
      </c>
      <c r="AB154" s="195" t="str">
        <f t="shared" si="74"/>
        <v>0.368619482864034+0.454704313173001i</v>
      </c>
      <c r="AC154" s="192">
        <f t="shared" si="75"/>
        <v>-4.6516658328921228</v>
      </c>
      <c r="AD154" s="195">
        <f t="shared" si="76"/>
        <v>50.969025386886436</v>
      </c>
      <c r="AE154" s="195" t="str">
        <f t="shared" si="77"/>
        <v>0.220817090962308+0.0156581695126797i</v>
      </c>
      <c r="AF154" s="192">
        <f t="shared" si="78"/>
        <v>-13.097563634870315</v>
      </c>
      <c r="AG154" s="195">
        <f t="shared" si="79"/>
        <v>4.0560622010278893</v>
      </c>
      <c r="AI154" s="195" t="str">
        <f t="shared" si="80"/>
        <v>0.002-0.00682532709651929i</v>
      </c>
      <c r="AJ154" s="195">
        <f t="shared" si="81"/>
        <v>0.22500000000000001</v>
      </c>
      <c r="AK154" s="195" t="str">
        <f t="shared" si="82"/>
        <v>0.0375-13.6506541930386i</v>
      </c>
      <c r="AL154" s="195" t="str">
        <f t="shared" si="83"/>
        <v>0.00218168314805307-0.00669658667066307i</v>
      </c>
      <c r="AM154" s="195" t="str">
        <f t="shared" si="84"/>
        <v>0.889816392113472-0.0879149445754212i</v>
      </c>
      <c r="AN154" s="195" t="str">
        <f t="shared" si="85"/>
        <v>0.006+1.00914652215765i</v>
      </c>
      <c r="AO154" s="195" t="str">
        <f t="shared" si="86"/>
        <v>-0.042954413140062-0.0658411750526652i</v>
      </c>
      <c r="AP154" s="195">
        <f t="shared" si="93"/>
        <v>-22.090015502707434</v>
      </c>
      <c r="AQ154" s="195">
        <f t="shared" si="94"/>
        <v>-123.12020379210276</v>
      </c>
      <c r="AS154" s="195" t="str">
        <f t="shared" si="87"/>
        <v>0.912571949572296-0.0925162615685395i</v>
      </c>
      <c r="AT154" s="195" t="str">
        <f t="shared" si="88"/>
        <v>-0.0427902288986615-0.0674133240007217i</v>
      </c>
      <c r="AU154" s="195">
        <f t="shared" si="95"/>
        <v>-21.954816667288263</v>
      </c>
      <c r="AV154" s="195">
        <f t="shared" si="96"/>
        <v>-122.40510898814024</v>
      </c>
    </row>
    <row r="155" spans="6:48" x14ac:dyDescent="0.2">
      <c r="F155" s="195">
        <v>153</v>
      </c>
      <c r="G155" s="210">
        <f t="shared" si="65"/>
        <v>176.06239200609838</v>
      </c>
      <c r="H155" s="210">
        <f t="shared" si="66"/>
        <v>154.50610502042477</v>
      </c>
      <c r="I155" s="196">
        <f t="shared" si="67"/>
        <v>0</v>
      </c>
      <c r="J155" s="195">
        <f t="shared" si="89"/>
        <v>0</v>
      </c>
      <c r="K155" s="195">
        <f t="shared" si="90"/>
        <v>1</v>
      </c>
      <c r="L155" s="195">
        <f>10^('Small Signal'!F155/30)</f>
        <v>125892.54117941685</v>
      </c>
      <c r="M155" s="195" t="str">
        <f t="shared" si="68"/>
        <v>791006.165022013i</v>
      </c>
      <c r="N155" s="195">
        <f>IF(D$32=1, IF(AND('Small Signal'!$B$62&gt;=1,FCCM=0),V155+0,S155+0), 0)</f>
        <v>-23.057983165652068</v>
      </c>
      <c r="O155" s="195">
        <f>IF(D$32=1, IF(AND('Small Signal'!$B$62&gt;=1,FCCM=0),W155,T155), 0)</f>
        <v>-124.74432258273427</v>
      </c>
      <c r="P155" s="195">
        <f>IF(AND('Small Signal'!$B$62&gt;=1,FCCM=0),AF155+0,AC155+0)</f>
        <v>-5.5215736381334501</v>
      </c>
      <c r="Q155" s="195">
        <f>IF(AND('Small Signal'!$B$62&gt;=1,FCCM=0),AG155,AD155)</f>
        <v>48.770880103397289</v>
      </c>
      <c r="R155" s="195" t="str">
        <f>IMDIV(IMSUM('Small Signal'!$B$2*'Small Signal'!$B$39*'Small Signal'!$B$63,IMPRODUCT(M155,'Small Signal'!$B$2*'Small Signal'!$B$39*'Small Signal'!$B$63*'Small Signal'!$B$14*'Small Signal'!$B$15)),IMSUM(IMPRODUCT('Small Signal'!$B$12*'Small Signal'!$B$14*('Small Signal'!$B$15+'Small Signal'!$B$39),IMPOWER(M155,2)),IMSUM(IMPRODUCT(M155,('Small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-0.0338590122871398-0.0389179844206434i</v>
      </c>
      <c r="S155" s="195">
        <f t="shared" si="91"/>
        <v>-23.057983165652068</v>
      </c>
      <c r="T155" s="195">
        <f t="shared" si="92"/>
        <v>-124.74432258273427</v>
      </c>
      <c r="U155" s="195" t="str">
        <f>IMDIV(IMSUM('Small Signal'!$B$75,IMPRODUCT(M155,'Small Signal'!$B$76)),IMSUM(IMPRODUCT('Small Signal'!$B$79,IMPOWER(M155,2)),IMSUM(IMPRODUCT(M155,'Small Signal'!$B$78),'Small Signal'!$B$77)))</f>
        <v>-0.0272098899057563-0.015428273250315i</v>
      </c>
      <c r="V155" s="195">
        <f t="shared" si="69"/>
        <v>-30.094792396059869</v>
      </c>
      <c r="W155" s="195">
        <f t="shared" si="70"/>
        <v>-150.4463400148729</v>
      </c>
      <c r="X155" s="195" t="str">
        <f>IMPRODUCT(IMDIV(IMSUM(IMPRODUCT(M155,'Small Signal'!$B$58*'Small Signal'!$B$6*'Small Signal'!$B$51*'Small Signal'!$B$7*'Small Signal'!$B$8),'Small Signal'!$B$58*'Small Signal'!$B$6*'Small Signal'!$B$51),IMSUM(IMSUM(IMPRODUCT(M155,('Small Signal'!$B$5+'Small Signal'!$B$6)*('Small Signal'!$B$57*'Small Signal'!$B$58)+'Small Signal'!$B$5*'Small Signal'!$B$58*('Small Signal'!$B$8+'Small Signal'!$B$9)+'Small Signal'!$B$6*'Small Signal'!$B$58*('Small Signal'!$B$8+'Small Signal'!$B$9)+'Small Signal'!$B$7*'Small Signal'!$B$8*('Small Signal'!$B$5+'Small Signal'!$B$6)),'Small Signal'!$B$6+'Small Signal'!$B$5),IMPRODUCT(IMPOWER(M155,2),'Small Signal'!$B$57*'Small Signal'!$B$58*'Small Signal'!$B$8*'Small Signal'!$B$7*('Small Signal'!$B$5+'Small Signal'!$B$6)+('Small Signal'!$B$5+'Small Signal'!$B$6)*('Small Signal'!$B$9*'Small Signal'!$B$8*'Small Signal'!$B$58*'Small Signal'!$B$7)))),-1)</f>
        <v>-5.41671453886966+2.70053613586105i</v>
      </c>
      <c r="Y155" s="195">
        <f t="shared" si="71"/>
        <v>17.536409527518625</v>
      </c>
      <c r="Z155" s="195">
        <f t="shared" si="72"/>
        <v>173.51520268613157</v>
      </c>
      <c r="AA155" s="195" t="str">
        <f t="shared" si="73"/>
        <v>1.16903421006093+0.425817928916642i</v>
      </c>
      <c r="AB155" s="195" t="str">
        <f t="shared" si="74"/>
        <v>0.349022990414796+0.39827714130657i</v>
      </c>
      <c r="AC155" s="192">
        <f t="shared" si="75"/>
        <v>-5.5215736381334501</v>
      </c>
      <c r="AD155" s="195">
        <f t="shared" si="76"/>
        <v>48.770880103397289</v>
      </c>
      <c r="AE155" s="195" t="str">
        <f t="shared" si="77"/>
        <v>0.189052815679967+0.0100892610813394i</v>
      </c>
      <c r="AF155" s="192">
        <f t="shared" si="78"/>
        <v>-14.455985520409216</v>
      </c>
      <c r="AG155" s="195">
        <f t="shared" si="79"/>
        <v>3.0548300134649371</v>
      </c>
      <c r="AI155" s="195" t="str">
        <f t="shared" si="80"/>
        <v>0.002-0.00632106324969141i</v>
      </c>
      <c r="AJ155" s="195">
        <f t="shared" si="81"/>
        <v>0.22500000000000001</v>
      </c>
      <c r="AK155" s="195" t="str">
        <f t="shared" si="82"/>
        <v>0.0375-12.6421264993829i</v>
      </c>
      <c r="AL155" s="195" t="str">
        <f t="shared" si="83"/>
        <v>0.00215306755954235-0.00620267411995449i</v>
      </c>
      <c r="AM155" s="195" t="str">
        <f t="shared" si="84"/>
        <v>0.888391459973002-0.0947763573680645i</v>
      </c>
      <c r="AN155" s="195" t="str">
        <f t="shared" si="85"/>
        <v>0.006+1.08965134977522i</v>
      </c>
      <c r="AO155" s="195" t="str">
        <f t="shared" si="86"/>
        <v>-0.0400784752486554-0.0577851085512286i</v>
      </c>
      <c r="AP155" s="195">
        <f t="shared" si="93"/>
        <v>-23.057983165652068</v>
      </c>
      <c r="AQ155" s="195">
        <f t="shared" si="94"/>
        <v>-124.74432258273427</v>
      </c>
      <c r="AS155" s="195" t="str">
        <f t="shared" si="87"/>
        <v>0.911034220354373-0.0997284303313536i</v>
      </c>
      <c r="AT155" s="195" t="str">
        <f t="shared" si="88"/>
        <v>-0.0400365825736605-0.0592527015444718i</v>
      </c>
      <c r="AU155" s="195">
        <f t="shared" si="95"/>
        <v>-22.912553622760001</v>
      </c>
      <c r="AV155" s="195">
        <f t="shared" si="96"/>
        <v>-124.04658359180711</v>
      </c>
    </row>
    <row r="156" spans="6:48" x14ac:dyDescent="0.2">
      <c r="F156" s="195">
        <v>154</v>
      </c>
      <c r="G156" s="210">
        <f t="shared" si="65"/>
        <v>175.04865507527836</v>
      </c>
      <c r="H156" s="210">
        <f t="shared" si="66"/>
        <v>153.06385719461366</v>
      </c>
      <c r="I156" s="196">
        <f t="shared" si="67"/>
        <v>0</v>
      </c>
      <c r="J156" s="195">
        <f t="shared" si="89"/>
        <v>0</v>
      </c>
      <c r="K156" s="195">
        <f t="shared" si="90"/>
        <v>1</v>
      </c>
      <c r="L156" s="195">
        <f>10^('Small Signal'!F156/30)</f>
        <v>135935.63908785273</v>
      </c>
      <c r="M156" s="195" t="str">
        <f t="shared" si="68"/>
        <v>854108.810238863i</v>
      </c>
      <c r="N156" s="195">
        <f>IF(D$32=1, IF(AND('Small Signal'!$B$62&gt;=1,FCCM=0),V156+0,S156+0), 0)</f>
        <v>-24.044353152375987</v>
      </c>
      <c r="O156" s="195">
        <f>IF(D$32=1, IF(AND('Small Signal'!$B$62&gt;=1,FCCM=0),W156,T156), 0)</f>
        <v>-126.30072010828239</v>
      </c>
      <c r="P156" s="195">
        <f>IF(AND('Small Signal'!$B$62&gt;=1,FCCM=0),AF156+0,AC156+0)</f>
        <v>-6.4097209604547443</v>
      </c>
      <c r="Q156" s="195">
        <f>IF(AND('Small Signal'!$B$62&gt;=1,FCCM=0),AG156,AD156)</f>
        <v>46.47191845174796</v>
      </c>
      <c r="R156" s="195" t="str">
        <f>IMDIV(IMSUM('Small Signal'!$B$2*'Small Signal'!$B$39*'Small Signal'!$B$63,IMPRODUCT(M156,'Small Signal'!$B$2*'Small Signal'!$B$39*'Small Signal'!$B$63*'Small Signal'!$B$14*'Small Signal'!$B$15)),IMSUM(IMPRODUCT('Small Signal'!$B$12*'Small Signal'!$B$14*('Small Signal'!$B$15+'Small Signal'!$B$39),IMPOWER(M156,2)),IMSUM(IMPRODUCT(M156,('Small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-0.0301827199372563-0.0338567041702982i</v>
      </c>
      <c r="S156" s="195">
        <f t="shared" si="91"/>
        <v>-24.044353152375987</v>
      </c>
      <c r="T156" s="195">
        <f t="shared" si="92"/>
        <v>-126.30072010828239</v>
      </c>
      <c r="U156" s="195" t="str">
        <f>IMDIV(IMSUM('Small Signal'!$B$75,IMPRODUCT(M156,'Small Signal'!$B$76)),IMSUM(IMPRODUCT('Small Signal'!$B$79,IMPOWER(M156,2)),IMSUM(IMPRODUCT(M156,'Small Signal'!$B$78),'Small Signal'!$B$77)))</f>
        <v>-0.023453807856778-0.0135300912109462i</v>
      </c>
      <c r="V156" s="195">
        <f t="shared" si="69"/>
        <v>-31.348104362117372</v>
      </c>
      <c r="W156" s="195">
        <f t="shared" si="70"/>
        <v>-150.02010515497861</v>
      </c>
      <c r="X156" s="195" t="str">
        <f>IMPRODUCT(IMDIV(IMSUM(IMPRODUCT(M156,'Small Signal'!$B$58*'Small Signal'!$B$6*'Small Signal'!$B$51*'Small Signal'!$B$7*'Small Signal'!$B$8),'Small Signal'!$B$58*'Small Signal'!$B$6*'Small Signal'!$B$51),IMSUM(IMSUM(IMPRODUCT(M156,('Small Signal'!$B$5+'Small Signal'!$B$6)*('Small Signal'!$B$57*'Small Signal'!$B$58)+'Small Signal'!$B$5*'Small Signal'!$B$58*('Small Signal'!$B$8+'Small Signal'!$B$9)+'Small Signal'!$B$6*'Small Signal'!$B$58*('Small Signal'!$B$8+'Small Signal'!$B$9)+'Small Signal'!$B$7*'Small Signal'!$B$8*('Small Signal'!$B$5+'Small Signal'!$B$6)),'Small Signal'!$B$6+'Small Signal'!$B$5),IMPRODUCT(IMPOWER(M156,2),'Small Signal'!$B$57*'Small Signal'!$B$58*'Small Signal'!$B$8*'Small Signal'!$B$7*('Small Signal'!$B$5+'Small Signal'!$B$6)+('Small Signal'!$B$5+'Small Signal'!$B$6)*('Small Signal'!$B$9*'Small Signal'!$B$8*'Small Signal'!$B$58*'Small Signal'!$B$7)))),-1)</f>
        <v>-5.28132158918267+2.79427789912526i</v>
      </c>
      <c r="Y156" s="195">
        <f t="shared" si="71"/>
        <v>17.634632191921245</v>
      </c>
      <c r="Z156" s="195">
        <f t="shared" si="72"/>
        <v>172.77263856003037</v>
      </c>
      <c r="AA156" s="195" t="str">
        <f t="shared" si="73"/>
        <v>1.19272654767262+0.449632343111535i</v>
      </c>
      <c r="AB156" s="195" t="str">
        <f t="shared" si="74"/>
        <v>0.329268622928218+0.346636322415379i</v>
      </c>
      <c r="AC156" s="192">
        <f t="shared" si="75"/>
        <v>-6.4097209604547443</v>
      </c>
      <c r="AD156" s="195">
        <f t="shared" si="76"/>
        <v>46.47191845174796</v>
      </c>
      <c r="AE156" s="195" t="str">
        <f t="shared" si="77"/>
        <v>0.16167393662644+0.00592030587145571i</v>
      </c>
      <c r="AF156" s="192">
        <f t="shared" si="78"/>
        <v>-15.821380024039954</v>
      </c>
      <c r="AG156" s="195">
        <f t="shared" si="79"/>
        <v>2.0971657507121901</v>
      </c>
      <c r="AI156" s="195" t="str">
        <f t="shared" si="80"/>
        <v>0.002-0.00585405505722587i</v>
      </c>
      <c r="AJ156" s="195">
        <f t="shared" si="81"/>
        <v>0.22500000000000001</v>
      </c>
      <c r="AK156" s="195" t="str">
        <f t="shared" si="82"/>
        <v>0.0375-11.7081101144518i</v>
      </c>
      <c r="AL156" s="195" t="str">
        <f t="shared" si="83"/>
        <v>0.00212851818886259-0.00574509226126609i</v>
      </c>
      <c r="AM156" s="195" t="str">
        <f t="shared" si="84"/>
        <v>0.886735862631865-0.102146442171638i</v>
      </c>
      <c r="AN156" s="195" t="str">
        <f t="shared" si="85"/>
        <v>0.006+1.17657846308415i</v>
      </c>
      <c r="AO156" s="195" t="str">
        <f t="shared" si="86"/>
        <v>-0.0371638884250343-0.0505911707172038i</v>
      </c>
      <c r="AP156" s="195">
        <f t="shared" si="93"/>
        <v>-24.044353152375987</v>
      </c>
      <c r="AQ156" s="195">
        <f t="shared" si="94"/>
        <v>-126.30072010828239</v>
      </c>
      <c r="AS156" s="195" t="str">
        <f t="shared" si="87"/>
        <v>0.909247890240408-0.107473137757306i</v>
      </c>
      <c r="AT156" s="195" t="str">
        <f t="shared" si="88"/>
        <v>-0.0372267135648348-0.0519461122945128i</v>
      </c>
      <c r="AU156" s="195">
        <f t="shared" si="95"/>
        <v>-23.888901507936016</v>
      </c>
      <c r="AV156" s="195">
        <f t="shared" si="96"/>
        <v>-125.6269354856212</v>
      </c>
    </row>
    <row r="157" spans="6:48" x14ac:dyDescent="0.2">
      <c r="F157" s="195">
        <v>155</v>
      </c>
      <c r="G157" s="210">
        <f t="shared" si="65"/>
        <v>173.84627866273101</v>
      </c>
      <c r="H157" s="210">
        <f t="shared" si="66"/>
        <v>151.53763235020193</v>
      </c>
      <c r="I157" s="196">
        <f t="shared" si="67"/>
        <v>0</v>
      </c>
      <c r="J157" s="195">
        <f t="shared" si="89"/>
        <v>0</v>
      </c>
      <c r="K157" s="195">
        <f t="shared" si="90"/>
        <v>1</v>
      </c>
      <c r="L157" s="195">
        <f>10^('Small Signal'!F157/30)</f>
        <v>146779.92676220718</v>
      </c>
      <c r="M157" s="195" t="str">
        <f t="shared" si="68"/>
        <v>922245.479221196i</v>
      </c>
      <c r="N157" s="195">
        <f>IF(D$32=1, IF(AND('Small Signal'!$B$62&gt;=1,FCCM=0),V157+0,S157+0), 0)</f>
        <v>-25.047730921702222</v>
      </c>
      <c r="O157" s="195">
        <f>IF(D$32=1, IF(AND('Small Signal'!$B$62&gt;=1,FCCM=0),W157,T157), 0)</f>
        <v>-127.77838395689535</v>
      </c>
      <c r="P157" s="195">
        <f>IF(AND('Small Signal'!$B$62&gt;=1,FCCM=0),AF157+0,AC157+0)</f>
        <v>-7.3172901447815306</v>
      </c>
      <c r="Q157" s="195">
        <f>IF(AND('Small Signal'!$B$62&gt;=1,FCCM=0),AG157,AD157)</f>
        <v>44.072817764127819</v>
      </c>
      <c r="R157" s="195" t="str">
        <f>IMDIV(IMSUM('Small Signal'!$B$2*'Small Signal'!$B$39*'Small Signal'!$B$63,IMPRODUCT(M157,'Small Signal'!$B$2*'Small Signal'!$B$39*'Small Signal'!$B$63*'Small Signal'!$B$14*'Small Signal'!$B$15)),IMSUM(IMPRODUCT('Small Signal'!$B$12*'Small Signal'!$B$14*('Small Signal'!$B$15+'Small Signal'!$B$39),IMPOWER(M157,2)),IMSUM(IMPRODUCT(M157,('Small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-0.0267841675224345-0.0295011761466697i</v>
      </c>
      <c r="S157" s="195">
        <f t="shared" si="91"/>
        <v>-25.047730921702222</v>
      </c>
      <c r="T157" s="195">
        <f t="shared" si="92"/>
        <v>-127.77838395689535</v>
      </c>
      <c r="U157" s="195" t="str">
        <f>IMDIV(IMSUM('Small Signal'!$B$75,IMPRODUCT(M157,'Small Signal'!$B$76)),IMSUM(IMPRODUCT('Small Signal'!$B$79,IMPOWER(M157,2)),IMSUM(IMPRODUCT(M157,'Small Signal'!$B$78),'Small Signal'!$B$77)))</f>
        <v>-0.020202052685094-0.0119242102984582i</v>
      </c>
      <c r="V157" s="195">
        <f t="shared" si="69"/>
        <v>-32.593928131688408</v>
      </c>
      <c r="W157" s="195">
        <f t="shared" si="70"/>
        <v>-149.44887892852859</v>
      </c>
      <c r="X157" s="195" t="str">
        <f>IMPRODUCT(IMDIV(IMSUM(IMPRODUCT(M157,'Small Signal'!$B$58*'Small Signal'!$B$6*'Small Signal'!$B$51*'Small Signal'!$B$7*'Small Signal'!$B$8),'Small Signal'!$B$58*'Small Signal'!$B$6*'Small Signal'!$B$51),IMSUM(IMSUM(IMPRODUCT(M157,('Small Signal'!$B$5+'Small Signal'!$B$6)*('Small Signal'!$B$57*'Small Signal'!$B$58)+'Small Signal'!$B$5*'Small Signal'!$B$58*('Small Signal'!$B$8+'Small Signal'!$B$9)+'Small Signal'!$B$6*'Small Signal'!$B$58*('Small Signal'!$B$8+'Small Signal'!$B$9)+'Small Signal'!$B$7*'Small Signal'!$B$8*('Small Signal'!$B$5+'Small Signal'!$B$6)),'Small Signal'!$B$6+'Small Signal'!$B$5),IMPRODUCT(IMPOWER(M157,2),'Small Signal'!$B$57*'Small Signal'!$B$58*'Small Signal'!$B$8*'Small Signal'!$B$7*('Small Signal'!$B$5+'Small Signal'!$B$6)+('Small Signal'!$B$5+'Small Signal'!$B$6)*('Small Signal'!$B$9*'Small Signal'!$B$8*'Small Signal'!$B$58*'Small Signal'!$B$7)))),-1)</f>
        <v>-5.1317785343109+2.88783592997464i</v>
      </c>
      <c r="Y157" s="195">
        <f t="shared" si="71"/>
        <v>17.730440776920702</v>
      </c>
      <c r="Z157" s="195">
        <f t="shared" si="72"/>
        <v>171.85120172102319</v>
      </c>
      <c r="AA157" s="195" t="str">
        <f t="shared" si="73"/>
        <v>1.2190615109035+0.47331334226551i</v>
      </c>
      <c r="AB157" s="195" t="str">
        <f t="shared" si="74"/>
        <v>0.309411102564511+0.299555708239771i</v>
      </c>
      <c r="AC157" s="192">
        <f t="shared" si="75"/>
        <v>-7.3172901447815306</v>
      </c>
      <c r="AD157" s="195">
        <f t="shared" si="76"/>
        <v>44.072817764127819</v>
      </c>
      <c r="AE157" s="195" t="str">
        <f t="shared" si="77"/>
        <v>0.138107623254844+0.00285219284498166i</v>
      </c>
      <c r="AF157" s="192">
        <f t="shared" si="78"/>
        <v>-17.193795086350288</v>
      </c>
      <c r="AG157" s="195">
        <f t="shared" si="79"/>
        <v>1.1831018563963827</v>
      </c>
      <c r="AI157" s="195" t="str">
        <f t="shared" si="80"/>
        <v>0.002-0.00542155002399397i</v>
      </c>
      <c r="AJ157" s="195">
        <f t="shared" si="81"/>
        <v>0.22500000000000001</v>
      </c>
      <c r="AK157" s="195" t="str">
        <f t="shared" si="82"/>
        <v>0.0375-10.8431000479879i</v>
      </c>
      <c r="AL157" s="195" t="str">
        <f t="shared" si="83"/>
        <v>0.00210745793628122-0.00532119082359015i</v>
      </c>
      <c r="AM157" s="195" t="str">
        <f t="shared" si="84"/>
        <v>0.884813352312542-0.110056062872761i</v>
      </c>
      <c r="AN157" s="195" t="str">
        <f t="shared" si="85"/>
        <v>0.006+1.27044020096797i</v>
      </c>
      <c r="AO157" s="195" t="str">
        <f t="shared" si="86"/>
        <v>-0.0342607417366782-0.0442031069785052i</v>
      </c>
      <c r="AP157" s="195">
        <f t="shared" si="93"/>
        <v>-25.047730921702222</v>
      </c>
      <c r="AQ157" s="195">
        <f t="shared" si="94"/>
        <v>-127.77838395689535</v>
      </c>
      <c r="AS157" s="195" t="str">
        <f t="shared" si="87"/>
        <v>0.907174007037897-0.115782136157349i</v>
      </c>
      <c r="AT157" s="195" t="str">
        <f t="shared" si="88"/>
        <v>-0.0344102215265239-0.0454407708263387i</v>
      </c>
      <c r="AU157" s="195">
        <f t="shared" si="95"/>
        <v>-24.882600468501934</v>
      </c>
      <c r="AV157" s="195">
        <f t="shared" si="96"/>
        <v>-127.13498474094038</v>
      </c>
    </row>
    <row r="158" spans="6:48" x14ac:dyDescent="0.2">
      <c r="F158" s="195">
        <v>156</v>
      </c>
      <c r="G158" s="210">
        <f t="shared" si="65"/>
        <v>172.44743985151129</v>
      </c>
      <c r="H158" s="210">
        <f t="shared" si="66"/>
        <v>149.92712321938154</v>
      </c>
      <c r="I158" s="196">
        <f t="shared" si="67"/>
        <v>0</v>
      </c>
      <c r="J158" s="195">
        <f t="shared" si="89"/>
        <v>0</v>
      </c>
      <c r="K158" s="195">
        <f t="shared" si="90"/>
        <v>1</v>
      </c>
      <c r="L158" s="195">
        <f>10^('Small Signal'!F158/30)</f>
        <v>158489.31924611164</v>
      </c>
      <c r="M158" s="195" t="str">
        <f t="shared" si="68"/>
        <v>995817.762032063i</v>
      </c>
      <c r="N158" s="195">
        <f>IF(D$32=1, IF(AND('Small Signal'!$B$62&gt;=1,FCCM=0),V158+0,S158+0), 0)</f>
        <v>-26.066393050039053</v>
      </c>
      <c r="O158" s="195">
        <f>IF(D$32=1, IF(AND('Small Signal'!$B$62&gt;=1,FCCM=0),W158,T158), 0)</f>
        <v>-129.16776239733292</v>
      </c>
      <c r="P158" s="195">
        <f>IF(AND('Small Signal'!$B$62&gt;=1,FCCM=0),AF158+0,AC158+0)</f>
        <v>-8.2455357896061408</v>
      </c>
      <c r="Q158" s="195">
        <f>IF(AND('Small Signal'!$B$62&gt;=1,FCCM=0),AG158,AD158)</f>
        <v>41.574776098083696</v>
      </c>
      <c r="R158" s="195" t="str">
        <f>IMDIV(IMSUM('Small Signal'!$B$2*'Small Signal'!$B$39*'Small Signal'!$B$63,IMPRODUCT(M158,'Small Signal'!$B$2*'Small Signal'!$B$39*'Small Signal'!$B$63*'Small Signal'!$B$14*'Small Signal'!$B$15)),IMSUM(IMPRODUCT('Small Signal'!$B$12*'Small Signal'!$B$14*('Small Signal'!$B$15+'Small Signal'!$B$39),IMPOWER(M158,2)),IMSUM(IMPRODUCT(M158,('Small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-0.0236712980574075-0.0257608162489183i</v>
      </c>
      <c r="S158" s="195">
        <f t="shared" si="91"/>
        <v>-26.066393050039053</v>
      </c>
      <c r="T158" s="195">
        <f t="shared" si="92"/>
        <v>-129.16776239733292</v>
      </c>
      <c r="U158" s="195" t="str">
        <f>IMDIV(IMSUM('Small Signal'!$B$75,IMPRODUCT(M158,'Small Signal'!$B$76)),IMSUM(IMPRODUCT('Small Signal'!$B$79,IMPOWER(M158,2)),IMSUM(IMPRODUCT(M158,'Small Signal'!$B$78),'Small Signal'!$B$77)))</f>
        <v>-0.0173906576732502-0.0105589845861627i</v>
      </c>
      <c r="V158" s="195">
        <f t="shared" si="69"/>
        <v>-33.830761079411822</v>
      </c>
      <c r="W158" s="195">
        <f t="shared" si="70"/>
        <v>-148.73537522349287</v>
      </c>
      <c r="X158" s="195" t="str">
        <f>IMPRODUCT(IMDIV(IMSUM(IMPRODUCT(M158,'Small Signal'!$B$58*'Small Signal'!$B$6*'Small Signal'!$B$51*'Small Signal'!$B$7*'Small Signal'!$B$8),'Small Signal'!$B$58*'Small Signal'!$B$6*'Small Signal'!$B$51),IMSUM(IMSUM(IMPRODUCT(M158,('Small Signal'!$B$5+'Small Signal'!$B$6)*('Small Signal'!$B$57*'Small Signal'!$B$58)+'Small Signal'!$B$5*'Small Signal'!$B$58*('Small Signal'!$B$8+'Small Signal'!$B$9)+'Small Signal'!$B$6*'Small Signal'!$B$58*('Small Signal'!$B$8+'Small Signal'!$B$9)+'Small Signal'!$B$7*'Small Signal'!$B$8*('Small Signal'!$B$5+'Small Signal'!$B$6)),'Small Signal'!$B$6+'Small Signal'!$B$5),IMPRODUCT(IMPOWER(M158,2),'Small Signal'!$B$57*'Small Signal'!$B$58*'Small Signal'!$B$8*'Small Signal'!$B$7*('Small Signal'!$B$5+'Small Signal'!$B$6)+('Small Signal'!$B$5+'Small Signal'!$B$6)*('Small Signal'!$B$9*'Small Signal'!$B$8*'Small Signal'!$B$58*'Small Signal'!$B$7)))),-1)</f>
        <v>-4.96778300587885+2.9791869567623i</v>
      </c>
      <c r="Y158" s="195">
        <f t="shared" si="71"/>
        <v>17.820857260432902</v>
      </c>
      <c r="Z158" s="195">
        <f t="shared" si="72"/>
        <v>170.74253849541657</v>
      </c>
      <c r="AA158" s="195" t="str">
        <f t="shared" si="73"/>
        <v>1.24814375062249+0.49653821321633i</v>
      </c>
      <c r="AB158" s="195" t="str">
        <f t="shared" si="74"/>
        <v>0.289519111286376+0.256819256099823i</v>
      </c>
      <c r="AC158" s="192">
        <f t="shared" si="75"/>
        <v>-8.2455357896061408</v>
      </c>
      <c r="AD158" s="195">
        <f t="shared" si="76"/>
        <v>41.574776098083696</v>
      </c>
      <c r="AE158" s="195" t="str">
        <f t="shared" si="77"/>
        <v>0.117850202805979+0.000644723676810587i</v>
      </c>
      <c r="AF158" s="192">
        <f t="shared" si="78"/>
        <v>-18.573263339048474</v>
      </c>
      <c r="AG158" s="195">
        <f t="shared" si="79"/>
        <v>0.31344517226166135</v>
      </c>
      <c r="AI158" s="195" t="str">
        <f t="shared" si="80"/>
        <v>0.002-0.00502099901270791i</v>
      </c>
      <c r="AJ158" s="195">
        <f t="shared" si="81"/>
        <v>0.22500000000000001</v>
      </c>
      <c r="AK158" s="195" t="str">
        <f t="shared" si="82"/>
        <v>0.0375-10.0419980254158i</v>
      </c>
      <c r="AL158" s="195" t="str">
        <f t="shared" si="83"/>
        <v>0.00208939141623373-0.00492850846580744i</v>
      </c>
      <c r="AM158" s="195" t="str">
        <f t="shared" si="84"/>
        <v>0.882582369006453-0.118536168555723i</v>
      </c>
      <c r="AN158" s="195" t="str">
        <f t="shared" si="85"/>
        <v>0.006+1.37178977422784i</v>
      </c>
      <c r="AO158" s="195" t="str">
        <f t="shared" si="86"/>
        <v>-0.0314136049727204-0.0385611626338719i</v>
      </c>
      <c r="AP158" s="195">
        <f t="shared" si="93"/>
        <v>-26.066393050039053</v>
      </c>
      <c r="AQ158" s="195">
        <f t="shared" si="94"/>
        <v>-129.16776239733292</v>
      </c>
      <c r="AS158" s="195" t="str">
        <f t="shared" si="87"/>
        <v>0.904767950286395-0.124687093464586i</v>
      </c>
      <c r="AT158" s="195" t="str">
        <f t="shared" si="88"/>
        <v>-0.0316319782027705-0.0396802417301331i</v>
      </c>
      <c r="AU158" s="195">
        <f t="shared" si="95"/>
        <v>-25.892052891459905</v>
      </c>
      <c r="AV158" s="195">
        <f t="shared" si="96"/>
        <v>-128.56087206350387</v>
      </c>
    </row>
    <row r="159" spans="6:48" x14ac:dyDescent="0.2">
      <c r="F159" s="195">
        <v>157</v>
      </c>
      <c r="G159" s="210">
        <f t="shared" si="65"/>
        <v>170.84782909729626</v>
      </c>
      <c r="H159" s="210">
        <f t="shared" si="66"/>
        <v>148.23304199904246</v>
      </c>
      <c r="I159" s="196">
        <f t="shared" si="67"/>
        <v>0</v>
      </c>
      <c r="J159" s="195">
        <f t="shared" si="89"/>
        <v>0</v>
      </c>
      <c r="K159" s="195">
        <f t="shared" si="90"/>
        <v>1</v>
      </c>
      <c r="L159" s="195">
        <f>10^('Small Signal'!F159/30)</f>
        <v>171132.83041617845</v>
      </c>
      <c r="M159" s="195" t="str">
        <f t="shared" si="68"/>
        <v>1075259.28564699i</v>
      </c>
      <c r="N159" s="195">
        <f>IF(D$32=1, IF(AND('Small Signal'!$B$62&gt;=1,FCCM=0),V159+0,S159+0), 0)</f>
        <v>-27.098330389311606</v>
      </c>
      <c r="O159" s="195">
        <f>IF(D$32=1, IF(AND('Small Signal'!$B$62&gt;=1,FCCM=0),W159,T159), 0)</f>
        <v>-130.46120299280344</v>
      </c>
      <c r="P159" s="195">
        <f>IF(AND('Small Signal'!$B$62&gt;=1,FCCM=0),AF159+0,AC159+0)</f>
        <v>-9.1957776205123416</v>
      </c>
      <c r="Q159" s="195">
        <f>IF(AND('Small Signal'!$B$62&gt;=1,FCCM=0),AG159,AD159)</f>
        <v>38.979740973104882</v>
      </c>
      <c r="R159" s="195" t="str">
        <f>IMDIV(IMSUM('Small Signal'!$B$2*'Small Signal'!$B$39*'Small Signal'!$B$63,IMPRODUCT(M159,'Small Signal'!$B$2*'Small Signal'!$B$39*'Small Signal'!$B$63*'Small Signal'!$B$14*'Small Signal'!$B$15)),IMSUM(IMPRODUCT('Small Signal'!$B$12*'Small Signal'!$B$14*('Small Signal'!$B$15+'Small Signal'!$B$39),IMPOWER(M159,2)),IMSUM(IMPRODUCT(M159,('Small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-0.0208434534693006-0.0225528003401989i</v>
      </c>
      <c r="S159" s="195">
        <f t="shared" si="91"/>
        <v>-27.098330389311606</v>
      </c>
      <c r="T159" s="195">
        <f t="shared" si="92"/>
        <v>-130.46120299280344</v>
      </c>
      <c r="U159" s="195" t="str">
        <f>IMDIV(IMSUM('Small Signal'!$B$75,IMPRODUCT(M159,'Small Signal'!$B$76)),IMSUM(IMPRODUCT('Small Signal'!$B$79,IMPOWER(M159,2)),IMSUM(IMPRODUCT(M159,'Small Signal'!$B$78),'Small Signal'!$B$77)))</f>
        <v>-0.0149627608544231-0.00939238234256515i</v>
      </c>
      <c r="V159" s="195">
        <f t="shared" si="69"/>
        <v>-35.057047584713516</v>
      </c>
      <c r="W159" s="195">
        <f t="shared" si="70"/>
        <v>-147.88280089399444</v>
      </c>
      <c r="X159" s="195" t="str">
        <f>IMPRODUCT(IMDIV(IMSUM(IMPRODUCT(M159,'Small Signal'!$B$58*'Small Signal'!$B$6*'Small Signal'!$B$51*'Small Signal'!$B$7*'Small Signal'!$B$8),'Small Signal'!$B$58*'Small Signal'!$B$6*'Small Signal'!$B$51),IMSUM(IMSUM(IMPRODUCT(M159,('Small Signal'!$B$5+'Small Signal'!$B$6)*('Small Signal'!$B$57*'Small Signal'!$B$58)+'Small Signal'!$B$5*'Small Signal'!$B$58*('Small Signal'!$B$8+'Small Signal'!$B$9)+'Small Signal'!$B$6*'Small Signal'!$B$58*('Small Signal'!$B$8+'Small Signal'!$B$9)+'Small Signal'!$B$7*'Small Signal'!$B$8*('Small Signal'!$B$5+'Small Signal'!$B$6)),'Small Signal'!$B$6+'Small Signal'!$B$5),IMPRODUCT(IMPOWER(M159,2),'Small Signal'!$B$57*'Small Signal'!$B$58*'Small Signal'!$B$8*'Small Signal'!$B$7*('Small Signal'!$B$5+'Small Signal'!$B$6)+('Small Signal'!$B$5+'Small Signal'!$B$6)*('Small Signal'!$B$9*'Small Signal'!$B$8*'Small Signal'!$B$58*'Small Signal'!$B$7)))),-1)</f>
        <v>-4.78934335860799+3.06614542128837i</v>
      </c>
      <c r="Y159" s="195">
        <f t="shared" si="71"/>
        <v>17.902552768799264</v>
      </c>
      <c r="Z159" s="195">
        <f t="shared" si="72"/>
        <v>169.44094396590828</v>
      </c>
      <c r="AA159" s="195" t="str">
        <f t="shared" si="73"/>
        <v>1.28002968735434+0.518943500626234i</v>
      </c>
      <c r="AB159" s="195" t="str">
        <f t="shared" si="74"/>
        <v>0.269673343410759+0.21821933225461i</v>
      </c>
      <c r="AC159" s="192">
        <f t="shared" si="75"/>
        <v>-9.1957776205123416</v>
      </c>
      <c r="AD159" s="195">
        <f t="shared" si="76"/>
        <v>38.979740973104882</v>
      </c>
      <c r="AE159" s="195" t="str">
        <f t="shared" si="77"/>
        <v>0.100460209439217-0.000894656689750896i</v>
      </c>
      <c r="AF159" s="192">
        <f t="shared" si="78"/>
        <v>-19.959773992493805</v>
      </c>
      <c r="AG159" s="195">
        <f t="shared" si="79"/>
        <v>-0.5102388065066169</v>
      </c>
      <c r="AI159" s="195" t="str">
        <f t="shared" si="80"/>
        <v>0.002-0.00465004121958498i</v>
      </c>
      <c r="AJ159" s="195">
        <f t="shared" si="81"/>
        <v>0.22500000000000001</v>
      </c>
      <c r="AK159" s="195" t="str">
        <f t="shared" si="82"/>
        <v>0.0375-9.30008243916995i</v>
      </c>
      <c r="AL159" s="195" t="str">
        <f t="shared" si="83"/>
        <v>0.00207389343662527-0.00456476023380757i</v>
      </c>
      <c r="AM159" s="195" t="str">
        <f t="shared" si="84"/>
        <v>0.879995397055076-0.127617247046826i</v>
      </c>
      <c r="AN159" s="195" t="str">
        <f t="shared" si="85"/>
        <v>0.006+1.48122452614636i</v>
      </c>
      <c r="AO159" s="195" t="str">
        <f t="shared" si="86"/>
        <v>-0.0286604721977703-0.0336031498457706i</v>
      </c>
      <c r="AP159" s="195">
        <f t="shared" si="93"/>
        <v>-27.098330389311606</v>
      </c>
      <c r="AQ159" s="195">
        <f t="shared" si="94"/>
        <v>-130.46120299280344</v>
      </c>
      <c r="AS159" s="195" t="str">
        <f t="shared" si="87"/>
        <v>0.901978759345853-0.134218980930129i</v>
      </c>
      <c r="AT159" s="195" t="str">
        <f t="shared" si="88"/>
        <v>-0.0289309626584335-0.0346053141635133i</v>
      </c>
      <c r="AU159" s="195">
        <f t="shared" si="95"/>
        <v>-26.915362501294013</v>
      </c>
      <c r="AV159" s="195">
        <f t="shared" si="96"/>
        <v>-129.89651993379533</v>
      </c>
    </row>
    <row r="160" spans="6:48" x14ac:dyDescent="0.2">
      <c r="F160" s="195">
        <v>158</v>
      </c>
      <c r="G160" s="210">
        <f t="shared" si="65"/>
        <v>169.047064379528</v>
      </c>
      <c r="H160" s="210">
        <f t="shared" si="66"/>
        <v>146.45727575897189</v>
      </c>
      <c r="I160" s="196">
        <f t="shared" si="67"/>
        <v>0</v>
      </c>
      <c r="J160" s="195">
        <f t="shared" si="89"/>
        <v>0</v>
      </c>
      <c r="K160" s="195">
        <f t="shared" si="90"/>
        <v>1</v>
      </c>
      <c r="L160" s="195">
        <f>10^('Small Signal'!F160/30)</f>
        <v>184784.97974222922</v>
      </c>
      <c r="M160" s="195" t="str">
        <f t="shared" si="68"/>
        <v>1161038.26970385i</v>
      </c>
      <c r="N160" s="195">
        <f>IF(D$32=1, IF(AND('Small Signal'!$B$62&gt;=1,FCCM=0),V160+0,S160+0), 0)</f>
        <v>-28.141304647926042</v>
      </c>
      <c r="O160" s="195">
        <f>IF(D$32=1, IF(AND('Small Signal'!$B$62&gt;=1,FCCM=0),W160,T160), 0)</f>
        <v>-131.65332733398978</v>
      </c>
      <c r="P160" s="195">
        <f>IF(AND('Small Signal'!$B$62&gt;=1,FCCM=0),AF160+0,AC160+0)</f>
        <v>-10.169379792166122</v>
      </c>
      <c r="Q160" s="195">
        <f>IF(AND('Small Signal'!$B$62&gt;=1,FCCM=0),AG160,AD160)</f>
        <v>36.290636763033696</v>
      </c>
      <c r="R160" s="195" t="str">
        <f>IMDIV(IMSUM('Small Signal'!$B$2*'Small Signal'!$B$39*'Small Signal'!$B$63,IMPRODUCT(M160,'Small Signal'!$B$2*'Small Signal'!$B$39*'Small Signal'!$B$63*'Small Signal'!$B$14*'Small Signal'!$B$15)),IMSUM(IMPRODUCT('Small Signal'!$B$12*'Small Signal'!$B$14*('Small Signal'!$B$15+'Small Signal'!$B$39),IMPOWER(M160,2)),IMSUM(IMPRODUCT(M160,('Small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-0.0182932113945168-0.0198025813713495i</v>
      </c>
      <c r="S160" s="195">
        <f t="shared" si="91"/>
        <v>-28.141304647926042</v>
      </c>
      <c r="T160" s="195">
        <f t="shared" si="92"/>
        <v>-131.65332733398978</v>
      </c>
      <c r="U160" s="195" t="str">
        <f>IMDIV(IMSUM('Small Signal'!$B$75,IMPRODUCT(M160,'Small Signal'!$B$76)),IMSUM(IMPRODUCT('Small Signal'!$B$79,IMPOWER(M160,2)),IMSUM(IMPRODUCT(M160,'Small Signal'!$B$78),'Small Signal'!$B$77)))</f>
        <v>-0.0128680988914442-0.00839020150482806i</v>
      </c>
      <c r="V160" s="195">
        <f t="shared" si="69"/>
        <v>-36.27118453234602</v>
      </c>
      <c r="W160" s="195">
        <f t="shared" si="70"/>
        <v>-146.89502151390803</v>
      </c>
      <c r="X160" s="195" t="str">
        <f>IMPRODUCT(IMDIV(IMSUM(IMPRODUCT(M160,'Small Signal'!$B$58*'Small Signal'!$B$6*'Small Signal'!$B$51*'Small Signal'!$B$7*'Small Signal'!$B$8),'Small Signal'!$B$58*'Small Signal'!$B$6*'Small Signal'!$B$51),IMSUM(IMSUM(IMPRODUCT(M160,('Small Signal'!$B$5+'Small Signal'!$B$6)*('Small Signal'!$B$57*'Small Signal'!$B$58)+'Small Signal'!$B$5*'Small Signal'!$B$58*('Small Signal'!$B$8+'Small Signal'!$B$9)+'Small Signal'!$B$6*'Small Signal'!$B$58*('Small Signal'!$B$8+'Small Signal'!$B$9)+'Small Signal'!$B$7*'Small Signal'!$B$8*('Small Signal'!$B$5+'Small Signal'!$B$6)),'Small Signal'!$B$6+'Small Signal'!$B$5),IMPRODUCT(IMPOWER(M160,2),'Small Signal'!$B$57*'Small Signal'!$B$58*'Small Signal'!$B$8*'Small Signal'!$B$7*('Small Signal'!$B$5+'Small Signal'!$B$6)+('Small Signal'!$B$5+'Small Signal'!$B$6)*('Small Signal'!$B$9*'Small Signal'!$B$8*'Small Signal'!$B$58*'Small Signal'!$B$7)))),-1)</f>
        <v>-4.59683780320642+3.14642041177524i</v>
      </c>
      <c r="Y160" s="195">
        <f t="shared" si="71"/>
        <v>17.971924855759923</v>
      </c>
      <c r="Z160" s="195">
        <f t="shared" si="72"/>
        <v>167.9439640970235</v>
      </c>
      <c r="AA160" s="195" t="str">
        <f t="shared" si="73"/>
        <v>1.31471508980562+0.540132407044538i</v>
      </c>
      <c r="AB160" s="195" t="str">
        <f t="shared" si="74"/>
        <v>0.249965189420451+0.183554802449363i</v>
      </c>
      <c r="AC160" s="192">
        <f t="shared" si="75"/>
        <v>-10.169379792166122</v>
      </c>
      <c r="AD160" s="195">
        <f t="shared" si="76"/>
        <v>36.290636763033696</v>
      </c>
      <c r="AE160" s="195" t="str">
        <f t="shared" si="77"/>
        <v>0.0855516647132877-0.00192005355886935i</v>
      </c>
      <c r="AF160" s="192">
        <f t="shared" si="78"/>
        <v>-21.353243726284298</v>
      </c>
      <c r="AG160" s="195">
        <f t="shared" si="79"/>
        <v>-1.2856850952382743</v>
      </c>
      <c r="AI160" s="195" t="str">
        <f t="shared" si="80"/>
        <v>0.002-0.00430649026002852i</v>
      </c>
      <c r="AJ160" s="195">
        <f t="shared" si="81"/>
        <v>0.22500000000000001</v>
      </c>
      <c r="AK160" s="195" t="str">
        <f t="shared" si="82"/>
        <v>0.0375-8.61298052005705i</v>
      </c>
      <c r="AL160" s="195" t="str">
        <f t="shared" si="83"/>
        <v>0.00206059908913002-0.00422782565521487i</v>
      </c>
      <c r="AM160" s="195" t="str">
        <f t="shared" si="84"/>
        <v>0.876998292546242-0.137328618908906i</v>
      </c>
      <c r="AN160" s="195" t="str">
        <f t="shared" si="85"/>
        <v>0.006+1.59938945316347i</v>
      </c>
      <c r="AO160" s="195" t="str">
        <f t="shared" si="86"/>
        <v>-0.0260321137946024-0.029265766602517i</v>
      </c>
      <c r="AP160" s="195">
        <f t="shared" si="93"/>
        <v>-28.141304647926042</v>
      </c>
      <c r="AQ160" s="195">
        <f t="shared" si="94"/>
        <v>-131.65332733398978</v>
      </c>
      <c r="AS160" s="195" t="str">
        <f t="shared" si="87"/>
        <v>0.898748437067279-0.144407286720511i</v>
      </c>
      <c r="AT160" s="195" t="str">
        <f t="shared" si="88"/>
        <v>-0.0263394586902494-0.0301551820213248i</v>
      </c>
      <c r="AU160" s="195">
        <f t="shared" si="95"/>
        <v>-27.950388205421515</v>
      </c>
      <c r="AV160" s="195">
        <f t="shared" si="96"/>
        <v>-131.1360351416557</v>
      </c>
    </row>
    <row r="161" spans="6:48" x14ac:dyDescent="0.2">
      <c r="F161" s="195">
        <v>159</v>
      </c>
      <c r="G161" s="210">
        <f t="shared" si="65"/>
        <v>167.04894897991747</v>
      </c>
      <c r="H161" s="210">
        <f t="shared" si="66"/>
        <v>144.60302567197795</v>
      </c>
      <c r="I161" s="196">
        <f t="shared" si="67"/>
        <v>0</v>
      </c>
      <c r="J161" s="195">
        <f t="shared" si="89"/>
        <v>0</v>
      </c>
      <c r="K161" s="195">
        <f t="shared" si="90"/>
        <v>1</v>
      </c>
      <c r="L161" s="195">
        <f>10^('Small Signal'!F161/30)</f>
        <v>199526.23149688813</v>
      </c>
      <c r="M161" s="195" t="str">
        <f t="shared" si="68"/>
        <v>1253660.28613816i</v>
      </c>
      <c r="N161" s="195">
        <f>IF(D$32=1, IF(AND('Small Signal'!$B$62&gt;=1,FCCM=0),V161+0,S161+0), 0)</f>
        <v>-29.192915832017352</v>
      </c>
      <c r="O161" s="195">
        <f>IF(D$32=1, IF(AND('Small Signal'!$B$62&gt;=1,FCCM=0),W161,T161), 0)</f>
        <v>-132.74132583196607</v>
      </c>
      <c r="P161" s="195">
        <f>IF(AND('Small Signal'!$B$62&gt;=1,FCCM=0),AF161+0,AC161+0)</f>
        <v>-11.167716472132645</v>
      </c>
      <c r="Q161" s="195">
        <f>IF(AND('Small Signal'!$B$62&gt;=1,FCCM=0),AG161,AD161)</f>
        <v>33.511554497626044</v>
      </c>
      <c r="R161" s="195" t="str">
        <f>IMDIV(IMSUM('Small Signal'!$B$2*'Small Signal'!$B$39*'Small Signal'!$B$63,IMPRODUCT(M161,'Small Signal'!$B$2*'Small Signal'!$B$39*'Small Signal'!$B$63*'Small Signal'!$B$14*'Small Signal'!$B$15)),IMSUM(IMPRODUCT('Small Signal'!$B$12*'Small Signal'!$B$14*('Small Signal'!$B$15+'Small Signal'!$B$39),IMPOWER(M161,2)),IMSUM(IMPRODUCT(M161,('Small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-0.0160081153894834-0.0174439905996099i</v>
      </c>
      <c r="S161" s="195">
        <f t="shared" si="91"/>
        <v>-29.192915832017352</v>
      </c>
      <c r="T161" s="195">
        <f t="shared" si="92"/>
        <v>-132.74132583196607</v>
      </c>
      <c r="U161" s="195" t="str">
        <f>IMDIV(IMSUM('Small Signal'!$B$75,IMPRODUCT(M161,'Small Signal'!$B$76)),IMSUM(IMPRODUCT('Small Signal'!$B$79,IMPOWER(M161,2)),IMSUM(IMPRODUCT(M161,'Small Signal'!$B$78),'Small Signal'!$B$77)))</f>
        <v>-0.011062447878224-0.00752460157676894i</v>
      </c>
      <c r="V161" s="195">
        <f t="shared" si="69"/>
        <v>-37.471533210539242</v>
      </c>
      <c r="W161" s="195">
        <f t="shared" si="70"/>
        <v>-145.77672997939746</v>
      </c>
      <c r="X161" s="195" t="str">
        <f>IMPRODUCT(IMDIV(IMSUM(IMPRODUCT(M161,'Small Signal'!$B$58*'Small Signal'!$B$6*'Small Signal'!$B$51*'Small Signal'!$B$7*'Small Signal'!$B$8),'Small Signal'!$B$58*'Small Signal'!$B$6*'Small Signal'!$B$51),IMSUM(IMSUM(IMPRODUCT(M161,('Small Signal'!$B$5+'Small Signal'!$B$6)*('Small Signal'!$B$57*'Small Signal'!$B$58)+'Small Signal'!$B$5*'Small Signal'!$B$58*('Small Signal'!$B$8+'Small Signal'!$B$9)+'Small Signal'!$B$6*'Small Signal'!$B$58*('Small Signal'!$B$8+'Small Signal'!$B$9)+'Small Signal'!$B$7*'Small Signal'!$B$8*('Small Signal'!$B$5+'Small Signal'!$B$6)),'Small Signal'!$B$6+'Small Signal'!$B$5),IMPRODUCT(IMPOWER(M161,2),'Small Signal'!$B$57*'Small Signal'!$B$58*'Small Signal'!$B$8*'Small Signal'!$B$7*('Small Signal'!$B$5+'Small Signal'!$B$6)+('Small Signal'!$B$5+'Small Signal'!$B$6)*('Small Signal'!$B$9*'Small Signal'!$B$8*'Small Signal'!$B$58*'Small Signal'!$B$7)))),-1)</f>
        <v>-4.39106159395461+3.21769300703085i</v>
      </c>
      <c r="Y161" s="195">
        <f t="shared" si="71"/>
        <v>18.025199359884706</v>
      </c>
      <c r="Z161" s="195">
        <f t="shared" si="72"/>
        <v>166.25288032959216</v>
      </c>
      <c r="AA161" s="195" t="str">
        <f t="shared" si="73"/>
        <v>1.35212366904469+0.559686141483985i</v>
      </c>
      <c r="AB161" s="195" t="str">
        <f t="shared" si="74"/>
        <v>0.230495677064918+0.152628615894519i</v>
      </c>
      <c r="AC161" s="192">
        <f t="shared" si="75"/>
        <v>-11.167716472132645</v>
      </c>
      <c r="AD161" s="195">
        <f t="shared" si="76"/>
        <v>33.511554497626044</v>
      </c>
      <c r="AE161" s="195" t="str">
        <f t="shared" si="77"/>
        <v>0.0727877478874568-0.00255457218484424i</v>
      </c>
      <c r="AF161" s="192">
        <f t="shared" si="78"/>
        <v>-22.753488260538958</v>
      </c>
      <c r="AG161" s="195">
        <f t="shared" si="79"/>
        <v>-2.0100382019426886</v>
      </c>
      <c r="AI161" s="195" t="str">
        <f t="shared" si="80"/>
        <v>0.002-0.00398832128231665i</v>
      </c>
      <c r="AJ161" s="195">
        <f t="shared" si="81"/>
        <v>0.22500000000000001</v>
      </c>
      <c r="AK161" s="195" t="str">
        <f t="shared" si="82"/>
        <v>0.0375-7.97664256463329i</v>
      </c>
      <c r="AL161" s="195" t="str">
        <f t="shared" si="83"/>
        <v>0.00204919522871592-0.00391573748361421i</v>
      </c>
      <c r="AM161" s="195" t="str">
        <f t="shared" si="84"/>
        <v>0.873529600223064-0.147697540686723i</v>
      </c>
      <c r="AN161" s="195" t="str">
        <f t="shared" si="85"/>
        <v>0.006+1.72698100641481i</v>
      </c>
      <c r="AO161" s="195" t="str">
        <f t="shared" si="86"/>
        <v>-0.0235518692316018-0.0254860081680156i</v>
      </c>
      <c r="AP161" s="195">
        <f t="shared" si="93"/>
        <v>-29.192915832017352</v>
      </c>
      <c r="AQ161" s="195">
        <f t="shared" si="94"/>
        <v>-132.74132583196607</v>
      </c>
      <c r="AS161" s="195" t="str">
        <f t="shared" si="87"/>
        <v>0.89501125114992-0.155279022375395i</v>
      </c>
      <c r="AT161" s="195" t="str">
        <f t="shared" si="88"/>
        <v>-0.0238826710363622-0.0262687786756602i</v>
      </c>
      <c r="AU161" s="195">
        <f t="shared" si="95"/>
        <v>-28.994810242844945</v>
      </c>
      <c r="AV161" s="195">
        <f t="shared" si="96"/>
        <v>-132.27603330532023</v>
      </c>
    </row>
    <row r="162" spans="6:48" x14ac:dyDescent="0.2">
      <c r="F162" s="195">
        <v>160</v>
      </c>
      <c r="G162" s="210">
        <f t="shared" si="65"/>
        <v>164.86154996410832</v>
      </c>
      <c r="H162" s="210">
        <f t="shared" si="66"/>
        <v>142.67491704990007</v>
      </c>
      <c r="I162" s="196">
        <f t="shared" si="67"/>
        <v>0</v>
      </c>
      <c r="J162" s="195">
        <f t="shared" si="89"/>
        <v>0</v>
      </c>
      <c r="K162" s="195">
        <f t="shared" si="90"/>
        <v>1</v>
      </c>
      <c r="L162" s="195">
        <f>10^('Small Signal'!F162/30)</f>
        <v>215443.46900318863</v>
      </c>
      <c r="M162" s="195" t="str">
        <f t="shared" si="68"/>
        <v>1353671.23896864i</v>
      </c>
      <c r="N162" s="195">
        <f>IF(D$32=1, IF(AND('Small Signal'!$B$62&gt;=1,FCCM=0),V162+0,S162+0), 0)</f>
        <v>-30.250677764036162</v>
      </c>
      <c r="O162" s="195">
        <f>IF(D$32=1, IF(AND('Small Signal'!$B$62&gt;=1,FCCM=0),W162,T162), 0)</f>
        <v>-133.72516146373033</v>
      </c>
      <c r="P162" s="195">
        <f>IF(AND('Small Signal'!$B$62&gt;=1,FCCM=0),AF162+0,AC162+0)</f>
        <v>-12.19212587314223</v>
      </c>
      <c r="Q162" s="195">
        <f>IF(AND('Small Signal'!$B$62&gt;=1,FCCM=0),AG162,AD162)</f>
        <v>30.64786775518553</v>
      </c>
      <c r="R162" s="195" t="str">
        <f>IMDIV(IMSUM('Small Signal'!$B$2*'Small Signal'!$B$39*'Small Signal'!$B$63,IMPRODUCT(M162,'Small Signal'!$B$2*'Small Signal'!$B$39*'Small Signal'!$B$63*'Small Signal'!$B$14*'Small Signal'!$B$15)),IMSUM(IMPRODUCT('Small Signal'!$B$12*'Small Signal'!$B$14*('Small Signal'!$B$15+'Small Signal'!$B$39),IMPOWER(M162,2)),IMSUM(IMPRODUCT(M162,('Small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-0.0139722193571663-0.0154190091289352i</v>
      </c>
      <c r="S162" s="195">
        <f t="shared" si="91"/>
        <v>-30.250677764036162</v>
      </c>
      <c r="T162" s="195">
        <f t="shared" si="92"/>
        <v>-133.72516146373033</v>
      </c>
      <c r="U162" s="195" t="str">
        <f>IMDIV(IMSUM('Small Signal'!$B$75,IMPRODUCT(M162,'Small Signal'!$B$76)),IMSUM(IMPRODUCT('Small Signal'!$B$79,IMPOWER(M162,2)),IMSUM(IMPRODUCT(M162,'Small Signal'!$B$78),'Small Signal'!$B$77)))</f>
        <v>-0.00950704869073762-0.0067729016389989i</v>
      </c>
      <c r="V162" s="195">
        <f t="shared" si="69"/>
        <v>-38.656438182051986</v>
      </c>
      <c r="W162" s="195">
        <f t="shared" si="70"/>
        <v>-144.53360790811325</v>
      </c>
      <c r="X162" s="195" t="str">
        <f>IMPRODUCT(IMDIV(IMSUM(IMPRODUCT(M162,'Small Signal'!$B$58*'Small Signal'!$B$6*'Small Signal'!$B$51*'Small Signal'!$B$7*'Small Signal'!$B$8),'Small Signal'!$B$58*'Small Signal'!$B$6*'Small Signal'!$B$51),IMSUM(IMSUM(IMPRODUCT(M162,('Small Signal'!$B$5+'Small Signal'!$B$6)*('Small Signal'!$B$57*'Small Signal'!$B$58)+'Small Signal'!$B$5*'Small Signal'!$B$58*('Small Signal'!$B$8+'Small Signal'!$B$9)+'Small Signal'!$B$6*'Small Signal'!$B$58*('Small Signal'!$B$8+'Small Signal'!$B$9)+'Small Signal'!$B$7*'Small Signal'!$B$8*('Small Signal'!$B$5+'Small Signal'!$B$6)),'Small Signal'!$B$6+'Small Signal'!$B$5),IMPRODUCT(IMPOWER(M162,2),'Small Signal'!$B$57*'Small Signal'!$B$58*'Small Signal'!$B$8*'Small Signal'!$B$7*('Small Signal'!$B$5+'Small Signal'!$B$6)+('Small Signal'!$B$5+'Small Signal'!$B$6)*('Small Signal'!$B$9*'Small Signal'!$B$8*'Small Signal'!$B$58*'Small Signal'!$B$7)))),-1)</f>
        <v>-4.1732547987497+3.2777114345676i</v>
      </c>
      <c r="Y162" s="195">
        <f t="shared" si="71"/>
        <v>18.058551890893916</v>
      </c>
      <c r="Z162" s="195">
        <f t="shared" si="72"/>
        <v>164.37302921891592</v>
      </c>
      <c r="AA162" s="195" t="str">
        <f t="shared" si="73"/>
        <v>1.39209804141781+0.577179203519024i</v>
      </c>
      <c r="AB162" s="195" t="str">
        <f t="shared" si="74"/>
        <v>0.211374178349538+0.125244814626159i</v>
      </c>
      <c r="AC162" s="192">
        <f t="shared" si="75"/>
        <v>-12.19212587314223</v>
      </c>
      <c r="AD162" s="195">
        <f t="shared" si="76"/>
        <v>30.64786775518553</v>
      </c>
      <c r="AE162" s="195" t="str">
        <f t="shared" si="77"/>
        <v>0.0618749537179162-0.00289631793620976i</v>
      </c>
      <c r="AF162" s="192">
        <f t="shared" si="78"/>
        <v>-24.160196830813653</v>
      </c>
      <c r="AG162" s="195">
        <f t="shared" si="79"/>
        <v>-2.6800141390813232</v>
      </c>
      <c r="AI162" s="195" t="str">
        <f t="shared" si="80"/>
        <v>0.002-0.00369365903334808i</v>
      </c>
      <c r="AJ162" s="195">
        <f t="shared" si="81"/>
        <v>0.22500000000000001</v>
      </c>
      <c r="AK162" s="195" t="str">
        <f t="shared" si="82"/>
        <v>0.0375-7.38731806669615i</v>
      </c>
      <c r="AL162" s="195" t="str">
        <f t="shared" si="83"/>
        <v>0.00203941315021237-0.0036266710913175i</v>
      </c>
      <c r="AM162" s="195" t="str">
        <f t="shared" si="84"/>
        <v>0.869519887877189-0.158748083536286i</v>
      </c>
      <c r="AN162" s="195" t="str">
        <f t="shared" si="85"/>
        <v>0.006+1.86475119653843i</v>
      </c>
      <c r="AO162" s="195" t="str">
        <f t="shared" si="86"/>
        <v>-0.0212358543537096-0.0222025234292205i</v>
      </c>
      <c r="AP162" s="195">
        <f t="shared" si="93"/>
        <v>-30.250677764036162</v>
      </c>
      <c r="AQ162" s="195">
        <f t="shared" si="94"/>
        <v>-133.72516146373033</v>
      </c>
      <c r="AS162" s="195" t="str">
        <f t="shared" si="87"/>
        <v>0.89069306566372-0.166857486731301i</v>
      </c>
      <c r="AT162" s="195" t="str">
        <f t="shared" si="88"/>
        <v>-0.0215787576938812-0.0228861167363826i</v>
      </c>
      <c r="AU162" s="195">
        <f t="shared" si="95"/>
        <v>-30.046205779933999</v>
      </c>
      <c r="AV162" s="195">
        <f t="shared" si="96"/>
        <v>-133.31587106448509</v>
      </c>
    </row>
    <row r="163" spans="6:48" x14ac:dyDescent="0.2">
      <c r="F163" s="195">
        <v>161</v>
      </c>
      <c r="G163" s="210">
        <f t="shared" si="65"/>
        <v>162.49708596476211</v>
      </c>
      <c r="H163" s="210">
        <f t="shared" si="66"/>
        <v>140.67906614119352</v>
      </c>
      <c r="I163" s="196">
        <f t="shared" si="67"/>
        <v>0</v>
      </c>
      <c r="J163" s="195">
        <f t="shared" si="89"/>
        <v>0</v>
      </c>
      <c r="K163" s="195">
        <f t="shared" si="90"/>
        <v>1</v>
      </c>
      <c r="L163" s="195">
        <f>10^('Small Signal'!F163/30)</f>
        <v>232630.50671536254</v>
      </c>
      <c r="M163" s="195" t="str">
        <f t="shared" si="68"/>
        <v>1461660.58179571i</v>
      </c>
      <c r="N163" s="195">
        <f>IF(D$32=1, IF(AND('Small Signal'!$B$62&gt;=1,FCCM=0),V163+0,S163+0), 0)</f>
        <v>-31.312098888794928</v>
      </c>
      <c r="O163" s="195">
        <f>IF(D$32=1, IF(AND('Small Signal'!$B$62&gt;=1,FCCM=0),W163,T163), 0)</f>
        <v>-134.60767538676615</v>
      </c>
      <c r="P163" s="195">
        <f>IF(AND('Small Signal'!$B$62&gt;=1,FCCM=0),AF163+0,AC163+0)</f>
        <v>-13.243857148746976</v>
      </c>
      <c r="Q163" s="195">
        <f>IF(AND('Small Signal'!$B$62&gt;=1,FCCM=0),AG163,AD163)</f>
        <v>27.706244858937399</v>
      </c>
      <c r="R163" s="195" t="str">
        <f>IMDIV(IMSUM('Small Signal'!$B$2*'Small Signal'!$B$39*'Small Signal'!$B$63,IMPRODUCT(M163,'Small Signal'!$B$2*'Small Signal'!$B$39*'Small Signal'!$B$63*'Small Signal'!$B$14*'Small Signal'!$B$15)),IMSUM(IMPRODUCT('Small Signal'!$B$12*'Small Signal'!$B$14*('Small Signal'!$B$15+'Small Signal'!$B$39),IMPOWER(M163,2)),IMSUM(IMPRODUCT(M163,('Small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-0.012167403228739-0.0136773002609842i</v>
      </c>
      <c r="S163" s="195">
        <f t="shared" si="91"/>
        <v>-31.312098888794928</v>
      </c>
      <c r="T163" s="195">
        <f t="shared" si="92"/>
        <v>-134.60767538676615</v>
      </c>
      <c r="U163" s="195" t="str">
        <f>IMDIV(IMSUM('Small Signal'!$B$75,IMPRODUCT(M163,'Small Signal'!$B$76)),IMSUM(IMPRODUCT('Small Signal'!$B$79,IMPOWER(M163,2)),IMSUM(IMPRODUCT(M163,'Small Signal'!$B$78),'Small Signal'!$B$77)))</f>
        <v>-0.00816804227369399-0.00611660012641248i</v>
      </c>
      <c r="V163" s="195">
        <f t="shared" si="69"/>
        <v>-39.824253340583539</v>
      </c>
      <c r="W163" s="195">
        <f t="shared" si="70"/>
        <v>-143.17246759954315</v>
      </c>
      <c r="X163" s="195" t="str">
        <f>IMPRODUCT(IMDIV(IMSUM(IMPRODUCT(M163,'Small Signal'!$B$58*'Small Signal'!$B$6*'Small Signal'!$B$51*'Small Signal'!$B$7*'Small Signal'!$B$8),'Small Signal'!$B$58*'Small Signal'!$B$6*'Small Signal'!$B$51),IMSUM(IMSUM(IMPRODUCT(M163,('Small Signal'!$B$5+'Small Signal'!$B$6)*('Small Signal'!$B$57*'Small Signal'!$B$58)+'Small Signal'!$B$5*'Small Signal'!$B$58*('Small Signal'!$B$8+'Small Signal'!$B$9)+'Small Signal'!$B$6*'Small Signal'!$B$58*('Small Signal'!$B$8+'Small Signal'!$B$9)+'Small Signal'!$B$7*'Small Signal'!$B$8*('Small Signal'!$B$5+'Small Signal'!$B$6)),'Small Signal'!$B$6+'Small Signal'!$B$5),IMPRODUCT(IMPOWER(M163,2),'Small Signal'!$B$57*'Small Signal'!$B$58*'Small Signal'!$B$8*'Small Signal'!$B$7*('Small Signal'!$B$5+'Small Signal'!$B$6)+('Small Signal'!$B$5+'Small Signal'!$B$6)*('Small Signal'!$B$9*'Small Signal'!$B$8*'Small Signal'!$B$58*'Small Signal'!$B$7)))),-1)</f>
        <v>-3.94510374220261+3.32439843997889i</v>
      </c>
      <c r="Y163" s="195">
        <f t="shared" si="71"/>
        <v>18.068241740047942</v>
      </c>
      <c r="Z163" s="195">
        <f t="shared" si="72"/>
        <v>162.31392024570374</v>
      </c>
      <c r="AA163" s="195" t="str">
        <f t="shared" si="73"/>
        <v>1.43439450867588+0.592198079737688i</v>
      </c>
      <c r="AB163" s="195" t="str">
        <f t="shared" si="74"/>
        <v>0.19271640196939+0.101205169068274i</v>
      </c>
      <c r="AC163" s="192">
        <f t="shared" si="75"/>
        <v>-13.243857148746976</v>
      </c>
      <c r="AD163" s="195">
        <f t="shared" si="76"/>
        <v>27.706244858937399</v>
      </c>
      <c r="AE163" s="195" t="str">
        <f t="shared" si="77"/>
        <v>0.0525577900586396-0.00302320494408309i</v>
      </c>
      <c r="AF163" s="192">
        <f t="shared" si="78"/>
        <v>-25.572912183944716</v>
      </c>
      <c r="AG163" s="195">
        <f t="shared" si="79"/>
        <v>-3.2921136827419444</v>
      </c>
      <c r="AI163" s="195" t="str">
        <f t="shared" si="80"/>
        <v>0.002-0.00342076680610576i</v>
      </c>
      <c r="AJ163" s="195">
        <f t="shared" si="81"/>
        <v>0.22500000000000001</v>
      </c>
      <c r="AK163" s="195" t="str">
        <f t="shared" si="82"/>
        <v>0.0375-6.84153361221152i</v>
      </c>
      <c r="AL163" s="195" t="str">
        <f t="shared" si="83"/>
        <v>0.00203102229563346-0.00335893450022085i</v>
      </c>
      <c r="AM163" s="195" t="str">
        <f t="shared" si="84"/>
        <v>0.864891138083918-0.170499752089069i</v>
      </c>
      <c r="AN163" s="195" t="str">
        <f t="shared" si="85"/>
        <v>0.006+2.01351202594307i</v>
      </c>
      <c r="AO163" s="195" t="str">
        <f t="shared" si="86"/>
        <v>-0.0190935126225054-0.0193567997234474i</v>
      </c>
      <c r="AP163" s="195">
        <f t="shared" si="93"/>
        <v>-31.312098888794928</v>
      </c>
      <c r="AQ163" s="195">
        <f t="shared" si="94"/>
        <v>-134.60767538676615</v>
      </c>
      <c r="AS163" s="195" t="str">
        <f t="shared" si="87"/>
        <v>0.885710748386884-0.179160751288589i</v>
      </c>
      <c r="AT163" s="195" t="str">
        <f t="shared" si="88"/>
        <v>-0.0194392264510839-0.0199495064233248i</v>
      </c>
      <c r="AU163" s="195">
        <f t="shared" si="95"/>
        <v>-31.102130937807829</v>
      </c>
      <c r="AV163" s="195">
        <f t="shared" si="96"/>
        <v>-134.25777624237321</v>
      </c>
    </row>
    <row r="164" spans="6:48" x14ac:dyDescent="0.2">
      <c r="F164" s="195">
        <v>162</v>
      </c>
      <c r="G164" s="210">
        <f t="shared" si="65"/>
        <v>159.9716255584853</v>
      </c>
      <c r="H164" s="210">
        <f t="shared" si="66"/>
        <v>138.62309006488275</v>
      </c>
      <c r="I164" s="196">
        <f t="shared" si="67"/>
        <v>0</v>
      </c>
      <c r="J164" s="195">
        <f t="shared" si="89"/>
        <v>0</v>
      </c>
      <c r="K164" s="195">
        <f t="shared" si="90"/>
        <v>1</v>
      </c>
      <c r="L164" s="195">
        <f>10^('Small Signal'!F164/30)</f>
        <v>251188.64315095844</v>
      </c>
      <c r="M164" s="195" t="str">
        <f t="shared" si="68"/>
        <v>1578264.79197648i</v>
      </c>
      <c r="N164" s="195">
        <f>IF(D$32=1, IF(AND('Small Signal'!$B$62&gt;=1,FCCM=0),V164+0,S164+0), 0)</f>
        <v>-32.374765647889539</v>
      </c>
      <c r="O164" s="195">
        <f>IF(D$32=1, IF(AND('Small Signal'!$B$62&gt;=1,FCCM=0),W164,T164), 0)</f>
        <v>-135.39459016734537</v>
      </c>
      <c r="P164" s="195">
        <f>IF(AND('Small Signal'!$B$62&gt;=1,FCCM=0),AF164+0,AC164+0)</f>
        <v>-14.324016313774894</v>
      </c>
      <c r="Q164" s="195">
        <f>IF(AND('Small Signal'!$B$62&gt;=1,FCCM=0),AG164,AD164)</f>
        <v>24.694540223412965</v>
      </c>
      <c r="R164" s="195" t="str">
        <f>IMDIV(IMSUM('Small Signal'!$B$2*'Small Signal'!$B$39*'Small Signal'!$B$63,IMPRODUCT(M164,'Small Signal'!$B$2*'Small Signal'!$B$39*'Small Signal'!$B$63*'Small Signal'!$B$14*'Small Signal'!$B$15)),IMSUM(IMPRODUCT('Small Signal'!$B$12*'Small Signal'!$B$14*('Small Signal'!$B$15+'Small Signal'!$B$39),IMPOWER(M164,2)),IMSUM(IMPRODUCT(M164,('Small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-0.0105744465607435-0.0121755867255441i</v>
      </c>
      <c r="S164" s="195">
        <f t="shared" si="91"/>
        <v>-32.374765647889539</v>
      </c>
      <c r="T164" s="195">
        <f t="shared" si="92"/>
        <v>-135.39459016734537</v>
      </c>
      <c r="U164" s="195" t="str">
        <f>IMDIV(IMSUM('Small Signal'!$B$75,IMPRODUCT(M164,'Small Signal'!$B$76)),IMSUM(IMPRODUCT('Small Signal'!$B$79,IMPOWER(M164,2)),IMSUM(IMPRODUCT(M164,'Small Signal'!$B$78),'Small Signal'!$B$77)))</f>
        <v>-0.00701593119686997-0.00554057804961904i</v>
      </c>
      <c r="V164" s="195">
        <f t="shared" si="69"/>
        <v>-40.973374839478168</v>
      </c>
      <c r="W164" s="195">
        <f t="shared" si="70"/>
        <v>-141.70136071043586</v>
      </c>
      <c r="X164" s="195" t="str">
        <f>IMPRODUCT(IMDIV(IMSUM(IMPRODUCT(M164,'Small Signal'!$B$58*'Small Signal'!$B$6*'Small Signal'!$B$51*'Small Signal'!$B$7*'Small Signal'!$B$8),'Small Signal'!$B$58*'Small Signal'!$B$6*'Small Signal'!$B$51),IMSUM(IMSUM(IMPRODUCT(M164,('Small Signal'!$B$5+'Small Signal'!$B$6)*('Small Signal'!$B$57*'Small Signal'!$B$58)+'Small Signal'!$B$5*'Small Signal'!$B$58*('Small Signal'!$B$8+'Small Signal'!$B$9)+'Small Signal'!$B$6*'Small Signal'!$B$58*('Small Signal'!$B$8+'Small Signal'!$B$9)+'Small Signal'!$B$7*'Small Signal'!$B$8*('Small Signal'!$B$5+'Small Signal'!$B$6)),'Small Signal'!$B$6+'Small Signal'!$B$5),IMPRODUCT(IMPOWER(M164,2),'Small Signal'!$B$57*'Small Signal'!$B$58*'Small Signal'!$B$8*'Small Signal'!$B$7*('Small Signal'!$B$5+'Small Signal'!$B$6)+('Small Signal'!$B$5+'Small Signal'!$B$6)*('Small Signal'!$B$9*'Small Signal'!$B$8*'Small Signal'!$B$58*'Small Signal'!$B$7)))),-1)</f>
        <v>-3.70871110835137+3.35596237161514i</v>
      </c>
      <c r="Y164" s="195">
        <f t="shared" si="71"/>
        <v>18.050749334114649</v>
      </c>
      <c r="Z164" s="195">
        <f t="shared" si="72"/>
        <v>160.0891303907583</v>
      </c>
      <c r="AA164" s="195" t="str">
        <f t="shared" si="73"/>
        <v>1.47868298576429+0.60436224555071i</v>
      </c>
      <c r="AB164" s="195" t="str">
        <f t="shared" si="74"/>
        <v>0.174641340958724+0.0803058806063702i</v>
      </c>
      <c r="AC164" s="192">
        <f t="shared" si="75"/>
        <v>-14.324016313774894</v>
      </c>
      <c r="AD164" s="195">
        <f t="shared" si="76"/>
        <v>24.694540223412965</v>
      </c>
      <c r="AE164" s="195" t="str">
        <f t="shared" si="77"/>
        <v>0.0446140334167789-0.00299679773922649i</v>
      </c>
      <c r="AF164" s="192">
        <f t="shared" si="78"/>
        <v>-26.991018817198217</v>
      </c>
      <c r="AG164" s="195">
        <f t="shared" si="79"/>
        <v>-3.8428786188390576</v>
      </c>
      <c r="AI164" s="195" t="str">
        <f t="shared" si="80"/>
        <v>0.002-0.00316803620369586i</v>
      </c>
      <c r="AJ164" s="195">
        <f t="shared" si="81"/>
        <v>0.22500000000000001</v>
      </c>
      <c r="AK164" s="195" t="str">
        <f t="shared" si="82"/>
        <v>0.0375-6.33607240739171i</v>
      </c>
      <c r="AL164" s="195" t="str">
        <f t="shared" si="83"/>
        <v>0.00202382484856111-0.0031109590334445i</v>
      </c>
      <c r="AM164" s="195" t="str">
        <f t="shared" si="84"/>
        <v>0.859556251929776-0.182965809490304i</v>
      </c>
      <c r="AN164" s="195" t="str">
        <f t="shared" si="85"/>
        <v>0.006+2.17414027466148i</v>
      </c>
      <c r="AO164" s="195" t="str">
        <f t="shared" si="86"/>
        <v>-0.0171284142190235-0.0168941009360512i</v>
      </c>
      <c r="AP164" s="195">
        <f t="shared" si="93"/>
        <v>-32.374765647889539</v>
      </c>
      <c r="AQ164" s="195">
        <f t="shared" si="94"/>
        <v>-135.39459016734537</v>
      </c>
      <c r="AS164" s="195" t="str">
        <f t="shared" si="87"/>
        <v>0.879971715824341-0.192199833219634i</v>
      </c>
      <c r="AT164" s="195" t="str">
        <f t="shared" si="88"/>
        <v>-0.0174696113276362-0.0174045628168398i</v>
      </c>
      <c r="AU164" s="195">
        <f t="shared" si="95"/>
        <v>-32.160206209664153</v>
      </c>
      <c r="AV164" s="195">
        <f t="shared" si="96"/>
        <v>-135.10686993746737</v>
      </c>
    </row>
    <row r="165" spans="6:48" x14ac:dyDescent="0.2">
      <c r="F165" s="195">
        <v>163</v>
      </c>
      <c r="G165" s="210">
        <f t="shared" si="65"/>
        <v>157.30461052943383</v>
      </c>
      <c r="H165" s="210">
        <f t="shared" si="66"/>
        <v>136.51604855052577</v>
      </c>
      <c r="I165" s="196">
        <f t="shared" si="67"/>
        <v>0</v>
      </c>
      <c r="J165" s="195">
        <f t="shared" si="89"/>
        <v>0</v>
      </c>
      <c r="K165" s="195">
        <f t="shared" si="90"/>
        <v>1</v>
      </c>
      <c r="L165" s="195">
        <f>10^('Small Signal'!F165/30)</f>
        <v>271227.25793320336</v>
      </c>
      <c r="M165" s="195" t="str">
        <f t="shared" si="68"/>
        <v>1704171.12195251i</v>
      </c>
      <c r="N165" s="195">
        <f>IF(D$32=1, IF(AND('Small Signal'!$B$62&gt;=1,FCCM=0),V165+0,S165+0), 0)</f>
        <v>-33.436425728138161</v>
      </c>
      <c r="O165" s="195">
        <f>IF(D$32=1, IF(AND('Small Signal'!$B$62&gt;=1,FCCM=0),W165,T165), 0)</f>
        <v>-136.09440827783334</v>
      </c>
      <c r="P165" s="195">
        <f>IF(AND('Small Signal'!$B$62&gt;=1,FCCM=0),AF165+0,AC165+0)</f>
        <v>-15.433518217905466</v>
      </c>
      <c r="Q165" s="195">
        <f>IF(AND('Small Signal'!$B$62&gt;=1,FCCM=0),AG165,AD165)</f>
        <v>21.621564692299248</v>
      </c>
      <c r="R165" s="195" t="str">
        <f>IMDIV(IMSUM('Small Signal'!$B$2*'Small Signal'!$B$39*'Small Signal'!$B$63,IMPRODUCT(M165,'Small Signal'!$B$2*'Small Signal'!$B$39*'Small Signal'!$B$63*'Small Signal'!$B$14*'Small Signal'!$B$15)),IMSUM(IMPRODUCT('Small Signal'!$B$12*'Small Signal'!$B$14*('Small Signal'!$B$15+'Small Signal'!$B$39),IMPOWER(M165,2)),IMSUM(IMPRODUCT(M165,('Small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-0.00917386829173506-0.0108769442170519i</v>
      </c>
      <c r="S165" s="195">
        <f t="shared" si="91"/>
        <v>-33.436425728138161</v>
      </c>
      <c r="T165" s="195">
        <f t="shared" si="92"/>
        <v>-136.09440827783334</v>
      </c>
      <c r="U165" s="195" t="str">
        <f>IMDIV(IMSUM('Small Signal'!$B$75,IMPRODUCT(M165,'Small Signal'!$B$76)),IMSUM(IMPRODUCT('Small Signal'!$B$79,IMPOWER(M165,2)),IMSUM(IMPRODUCT(M165,'Small Signal'!$B$78),'Small Signal'!$B$77)))</f>
        <v>-0.00602507724490028-0.00503245303741629i</v>
      </c>
      <c r="V165" s="195">
        <f t="shared" si="69"/>
        <v>-42.102279909576261</v>
      </c>
      <c r="W165" s="195">
        <f t="shared" si="70"/>
        <v>-140.12963927303957</v>
      </c>
      <c r="X165" s="195" t="str">
        <f>IMPRODUCT(IMDIV(IMSUM(IMPRODUCT(M165,'Small Signal'!$B$58*'Small Signal'!$B$6*'Small Signal'!$B$51*'Small Signal'!$B$7*'Small Signal'!$B$8),'Small Signal'!$B$58*'Small Signal'!$B$6*'Small Signal'!$B$51),IMSUM(IMSUM(IMPRODUCT(M165,('Small Signal'!$B$5+'Small Signal'!$B$6)*('Small Signal'!$B$57*'Small Signal'!$B$58)+'Small Signal'!$B$5*'Small Signal'!$B$58*('Small Signal'!$B$8+'Small Signal'!$B$9)+'Small Signal'!$B$6*'Small Signal'!$B$58*('Small Signal'!$B$8+'Small Signal'!$B$9)+'Small Signal'!$B$7*'Small Signal'!$B$8*('Small Signal'!$B$5+'Small Signal'!$B$6)),'Small Signal'!$B$6+'Small Signal'!$B$5),IMPRODUCT(IMPOWER(M165,2),'Small Signal'!$B$57*'Small Signal'!$B$58*'Small Signal'!$B$8*'Small Signal'!$B$7*('Small Signal'!$B$5+'Small Signal'!$B$6)+('Small Signal'!$B$5+'Small Signal'!$B$6)*('Small Signal'!$B$9*'Small Signal'!$B$8*'Small Signal'!$B$58*'Small Signal'!$B$7)))),-1)</f>
        <v>-3.46653289805044+3.37100135604931i</v>
      </c>
      <c r="Y165" s="195">
        <f t="shared" si="71"/>
        <v>18.002907510232706</v>
      </c>
      <c r="Z165" s="195">
        <f t="shared" si="72"/>
        <v>157.71597297013255</v>
      </c>
      <c r="AA165" s="195" t="str">
        <f t="shared" si="73"/>
        <v>1.52455302938019+0.613345807592378i</v>
      </c>
      <c r="AB165" s="195" t="str">
        <f t="shared" si="74"/>
        <v>0.157267105890009+0.0623349324631342i</v>
      </c>
      <c r="AC165" s="192">
        <f t="shared" si="75"/>
        <v>-15.433518217905466</v>
      </c>
      <c r="AD165" s="195">
        <f t="shared" si="76"/>
        <v>21.621564692299248</v>
      </c>
      <c r="AE165" s="195" t="str">
        <f t="shared" si="77"/>
        <v>0.0378505344961267-0.00286537955076326i</v>
      </c>
      <c r="AF165" s="192">
        <f t="shared" si="78"/>
        <v>-28.413741876591267</v>
      </c>
      <c r="AG165" s="195">
        <f t="shared" si="79"/>
        <v>-4.3291755609254645</v>
      </c>
      <c r="AI165" s="195" t="str">
        <f t="shared" si="80"/>
        <v>0.002-0.00293397765963278i</v>
      </c>
      <c r="AJ165" s="195">
        <f t="shared" si="81"/>
        <v>0.22500000000000001</v>
      </c>
      <c r="AK165" s="195" t="str">
        <f t="shared" si="82"/>
        <v>0.0375-5.86795531926557i</v>
      </c>
      <c r="AL165" s="195" t="str">
        <f t="shared" si="83"/>
        <v>0.00201765109155099-0.00288129056564554i</v>
      </c>
      <c r="AM165" s="195" t="str">
        <f t="shared" si="84"/>
        <v>0.853418737174109-0.196151279343095i</v>
      </c>
      <c r="AN165" s="195" t="str">
        <f t="shared" si="85"/>
        <v>0.006+2.3475826679958i</v>
      </c>
      <c r="AO165" s="195" t="str">
        <f t="shared" si="86"/>
        <v>-0.015339200162473-0.0147641257567461i</v>
      </c>
      <c r="AP165" s="195">
        <f t="shared" si="93"/>
        <v>-33.436425728138161</v>
      </c>
      <c r="AQ165" s="195">
        <f t="shared" si="94"/>
        <v>-136.09440827783334</v>
      </c>
      <c r="AS165" s="195" t="str">
        <f t="shared" si="87"/>
        <v>0.873373697021041-0.205976528784767i</v>
      </c>
      <c r="AT165" s="195" t="str">
        <f t="shared" si="88"/>
        <v>-0.0156703307873989-0.0152009533262675i</v>
      </c>
      <c r="AU165" s="195">
        <f t="shared" si="95"/>
        <v>-33.218202212693164</v>
      </c>
      <c r="AV165" s="195">
        <f t="shared" si="96"/>
        <v>-135.87107732159362</v>
      </c>
    </row>
    <row r="166" spans="6:48" x14ac:dyDescent="0.2">
      <c r="F166" s="195">
        <v>164</v>
      </c>
      <c r="G166" s="210">
        <f t="shared" si="65"/>
        <v>154.51823064006004</v>
      </c>
      <c r="H166" s="210">
        <f t="shared" si="66"/>
        <v>134.3683105147575</v>
      </c>
      <c r="I166" s="196">
        <f t="shared" si="67"/>
        <v>0</v>
      </c>
      <c r="J166" s="195">
        <f t="shared" si="89"/>
        <v>0</v>
      </c>
      <c r="K166" s="195">
        <f t="shared" si="90"/>
        <v>1</v>
      </c>
      <c r="L166" s="195">
        <f>10^('Small Signal'!F166/30)</f>
        <v>292864.45646252431</v>
      </c>
      <c r="M166" s="195" t="str">
        <f t="shared" si="68"/>
        <v>1840121.64984047i</v>
      </c>
      <c r="N166" s="195">
        <f>IF(D$32=1, IF(AND('Small Signal'!$B$62&gt;=1,FCCM=0),V166+0,S166+0), 0)</f>
        <v>-34.49506839809284</v>
      </c>
      <c r="O166" s="195">
        <f>IF(D$32=1, IF(AND('Small Signal'!$B$62&gt;=1,FCCM=0),W166,T166), 0)</f>
        <v>-136.71820518824327</v>
      </c>
      <c r="P166" s="195">
        <f>IF(AND('Small Signal'!$B$62&gt;=1,FCCM=0),AF166+0,AC166+0)</f>
        <v>-16.573051347892765</v>
      </c>
      <c r="Q166" s="195">
        <f>IF(AND('Small Signal'!$B$62&gt;=1,FCCM=0),AG166,AD166)</f>
        <v>18.496753328721589</v>
      </c>
      <c r="R166" s="195" t="str">
        <f>IMDIV(IMSUM('Small Signal'!$B$2*'Small Signal'!$B$39*'Small Signal'!$B$63,IMPRODUCT(M166,'Small Signal'!$B$2*'Small Signal'!$B$39*'Small Signal'!$B$63*'Small Signal'!$B$14*'Small Signal'!$B$15)),IMSUM(IMPRODUCT('Small Signal'!$B$12*'Small Signal'!$B$14*('Small Signal'!$B$15+'Small Signal'!$B$39),IMPOWER(M166,2)),IMSUM(IMPRODUCT(M166,('Small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-0.00794655472656245-0.00975006748399285i</v>
      </c>
      <c r="S166" s="195">
        <f t="shared" si="91"/>
        <v>-34.49506839809284</v>
      </c>
      <c r="T166" s="195">
        <f t="shared" si="92"/>
        <v>-136.71820518824327</v>
      </c>
      <c r="U166" s="195" t="str">
        <f>IMDIV(IMSUM('Small Signal'!$B$75,IMPRODUCT(M166,'Small Signal'!$B$76)),IMSUM(IMPRODUCT('Small Signal'!$B$79,IMPOWER(M166,2)),IMSUM(IMPRODUCT(M166,'Small Signal'!$B$78),'Small Signal'!$B$77)))</f>
        <v>-0.00517324013271539-0.00458205675769824i</v>
      </c>
      <c r="V166" s="195">
        <f t="shared" si="69"/>
        <v>-43.209569824584221</v>
      </c>
      <c r="W166" s="195">
        <f t="shared" si="70"/>
        <v>-138.46795574807746</v>
      </c>
      <c r="X166" s="195" t="str">
        <f>IMPRODUCT(IMDIV(IMSUM(IMPRODUCT(M166,'Small Signal'!$B$58*'Small Signal'!$B$6*'Small Signal'!$B$51*'Small Signal'!$B$7*'Small Signal'!$B$8),'Small Signal'!$B$58*'Small Signal'!$B$6*'Small Signal'!$B$51),IMSUM(IMSUM(IMPRODUCT(M166,('Small Signal'!$B$5+'Small Signal'!$B$6)*('Small Signal'!$B$57*'Small Signal'!$B$58)+'Small Signal'!$B$5*'Small Signal'!$B$58*('Small Signal'!$B$8+'Small Signal'!$B$9)+'Small Signal'!$B$6*'Small Signal'!$B$58*('Small Signal'!$B$8+'Small Signal'!$B$9)+'Small Signal'!$B$7*'Small Signal'!$B$8*('Small Signal'!$B$5+'Small Signal'!$B$6)),'Small Signal'!$B$6+'Small Signal'!$B$5),IMPRODUCT(IMPOWER(M166,2),'Small Signal'!$B$57*'Small Signal'!$B$58*'Small Signal'!$B$8*'Small Signal'!$B$7*('Small Signal'!$B$5+'Small Signal'!$B$6)+('Small Signal'!$B$5+'Small Signal'!$B$6)*('Small Signal'!$B$9*'Small Signal'!$B$8*'Small Signal'!$B$58*'Small Signal'!$B$7)))),-1)</f>
        <v>-3.22128458577086+3.36858921867712i</v>
      </c>
      <c r="Y166" s="195">
        <f t="shared" si="71"/>
        <v>17.922017050200072</v>
      </c>
      <c r="Z166" s="195">
        <f t="shared" si="72"/>
        <v>155.21495851696488</v>
      </c>
      <c r="AA166" s="195" t="str">
        <f t="shared" si="73"/>
        <v>1.57152629002649+0.618897717271683i</v>
      </c>
      <c r="AB166" s="195" t="str">
        <f t="shared" si="74"/>
        <v>0.140705881024477+0.0470706636498193i</v>
      </c>
      <c r="AC166" s="192">
        <f t="shared" si="75"/>
        <v>-16.573051347892765</v>
      </c>
      <c r="AD166" s="195">
        <f t="shared" si="76"/>
        <v>18.496753328721589</v>
      </c>
      <c r="AE166" s="195" t="str">
        <f t="shared" si="77"/>
        <v>0.0320995456913562-0.00266641213199231i</v>
      </c>
      <c r="AF166" s="192">
        <f t="shared" si="78"/>
        <v>-29.84015834783888</v>
      </c>
      <c r="AG166" s="195">
        <f t="shared" si="79"/>
        <v>-4.7484853496735013</v>
      </c>
      <c r="AI166" s="195" t="str">
        <f t="shared" si="80"/>
        <v>0.002-0.0027172116584974i</v>
      </c>
      <c r="AJ166" s="195">
        <f t="shared" si="81"/>
        <v>0.22500000000000001</v>
      </c>
      <c r="AK166" s="195" t="str">
        <f t="shared" si="82"/>
        <v>0.0375-5.43442331699481i</v>
      </c>
      <c r="AL166" s="195" t="str">
        <f t="shared" si="83"/>
        <v>0.0020123554195918-0.00266858134667746i</v>
      </c>
      <c r="AM166" s="195" t="str">
        <f t="shared" si="84"/>
        <v>0.846372673790419-0.210050605503882i</v>
      </c>
      <c r="AN166" s="195" t="str">
        <f t="shared" si="85"/>
        <v>0.006+2.53486145641289i</v>
      </c>
      <c r="AO166" s="195" t="str">
        <f t="shared" si="86"/>
        <v>-0.0137205768766977-0.0129213890204411i</v>
      </c>
      <c r="AP166" s="195">
        <f t="shared" si="93"/>
        <v>-34.49506839809284</v>
      </c>
      <c r="AQ166" s="195">
        <f t="shared" si="94"/>
        <v>-136.71820518824327</v>
      </c>
      <c r="AS166" s="195" t="str">
        <f t="shared" si="87"/>
        <v>0.865804819089938-0.220480892732553i</v>
      </c>
      <c r="AT166" s="195" t="str">
        <f t="shared" si="88"/>
        <v>-0.0140376320311948-0.0132928744371663i</v>
      </c>
      <c r="AU166" s="195">
        <f t="shared" si="95"/>
        <v>-34.274122638536262</v>
      </c>
      <c r="AV166" s="195">
        <f t="shared" si="96"/>
        <v>-136.56092641521892</v>
      </c>
    </row>
    <row r="167" spans="6:48" x14ac:dyDescent="0.2">
      <c r="F167" s="195">
        <v>165</v>
      </c>
      <c r="G167" s="210">
        <f t="shared" si="65"/>
        <v>151.636687097296</v>
      </c>
      <c r="H167" s="210">
        <f t="shared" si="66"/>
        <v>132.19134474463704</v>
      </c>
      <c r="I167" s="196">
        <f t="shared" si="67"/>
        <v>0</v>
      </c>
      <c r="J167" s="195">
        <f t="shared" si="89"/>
        <v>0</v>
      </c>
      <c r="K167" s="195">
        <f t="shared" si="90"/>
        <v>1</v>
      </c>
      <c r="L167" s="195">
        <f>10^('Small Signal'!F167/30)</f>
        <v>316227.7660168382</v>
      </c>
      <c r="M167" s="195" t="str">
        <f t="shared" si="68"/>
        <v>1986917.65315922i</v>
      </c>
      <c r="N167" s="195">
        <f>IF(D$32=1, IF(AND('Small Signal'!$B$62&gt;=1,FCCM=0),V167+0,S167+0), 0)</f>
        <v>-35.548998945217498</v>
      </c>
      <c r="O167" s="195">
        <f>IF(D$32=1, IF(AND('Small Signal'!$B$62&gt;=1,FCCM=0),W167,T167), 0)</f>
        <v>-137.27931862059583</v>
      </c>
      <c r="P167" s="195">
        <f>IF(AND('Small Signal'!$B$62&gt;=1,FCCM=0),AF167+0,AC167+0)</f>
        <v>-17.74306081824183</v>
      </c>
      <c r="Q167" s="195">
        <f>IF(AND('Small Signal'!$B$62&gt;=1,FCCM=0),AG167,AD167)</f>
        <v>15.329766081578967</v>
      </c>
      <c r="R167" s="195" t="str">
        <f>IMDIV(IMSUM('Small Signal'!$B$2*'Small Signal'!$B$39*'Small Signal'!$B$63,IMPRODUCT(M167,'Small Signal'!$B$2*'Small Signal'!$B$39*'Small Signal'!$B$63*'Small Signal'!$B$14*'Small Signal'!$B$15)),IMSUM(IMPRODUCT('Small Signal'!$B$12*'Small Signal'!$B$14*('Small Signal'!$B$15+'Small Signal'!$B$39),IMPOWER(M167,2)),IMSUM(IMPRODUCT(M167,('Small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-0.00687420512108319-0.00876855011489521i</v>
      </c>
      <c r="S167" s="195">
        <f t="shared" si="91"/>
        <v>-35.548998945217498</v>
      </c>
      <c r="T167" s="195">
        <f t="shared" si="92"/>
        <v>-137.27931862059583</v>
      </c>
      <c r="U167" s="195" t="str">
        <f>IMDIV(IMSUM('Small Signal'!$B$75,IMPRODUCT(M167,'Small Signal'!$B$76)),IMSUM(IMPRODUCT('Small Signal'!$B$79,IMPOWER(M167,2)),IMSUM(IMPRODUCT(M167,'Small Signal'!$B$78),'Small Signal'!$B$77)))</f>
        <v>-0.00444115919688221-0.00418101284974852i</v>
      </c>
      <c r="V167" s="195">
        <f t="shared" si="69"/>
        <v>-44.294014522487402</v>
      </c>
      <c r="W167" s="195">
        <f t="shared" si="70"/>
        <v>-136.72819182809323</v>
      </c>
      <c r="X167" s="195" t="str">
        <f>IMPRODUCT(IMDIV(IMSUM(IMPRODUCT(M167,'Small Signal'!$B$58*'Small Signal'!$B$6*'Small Signal'!$B$51*'Small Signal'!$B$7*'Small Signal'!$B$8),'Small Signal'!$B$58*'Small Signal'!$B$6*'Small Signal'!$B$51),IMSUM(IMSUM(IMPRODUCT(M167,('Small Signal'!$B$5+'Small Signal'!$B$6)*('Small Signal'!$B$57*'Small Signal'!$B$58)+'Small Signal'!$B$5*'Small Signal'!$B$58*('Small Signal'!$B$8+'Small Signal'!$B$9)+'Small Signal'!$B$6*'Small Signal'!$B$58*('Small Signal'!$B$8+'Small Signal'!$B$9)+'Small Signal'!$B$7*'Small Signal'!$B$8*('Small Signal'!$B$5+'Small Signal'!$B$6)),'Small Signal'!$B$6+'Small Signal'!$B$5),IMPRODUCT(IMPOWER(M167,2),'Small Signal'!$B$57*'Small Signal'!$B$58*'Small Signal'!$B$8*'Small Signal'!$B$7*('Small Signal'!$B$5+'Small Signal'!$B$6)+('Small Signal'!$B$5+'Small Signal'!$B$6)*('Small Signal'!$B$9*'Small Signal'!$B$8*'Small Signal'!$B$58*'Small Signal'!$B$7)))),-1)</f>
        <v>-2.97582320432983+3.34833291798823i</v>
      </c>
      <c r="Y167" s="195">
        <f t="shared" si="71"/>
        <v>17.80593812697569</v>
      </c>
      <c r="Z167" s="195">
        <f t="shared" si="72"/>
        <v>152.60908470217475</v>
      </c>
      <c r="AA167" s="195" t="str">
        <f t="shared" si="73"/>
        <v>1.6190749014693+0.620858358224075i</v>
      </c>
      <c r="AB167" s="195" t="str">
        <f t="shared" si="74"/>
        <v>0.125058512354134+0.0342819797505117i</v>
      </c>
      <c r="AC167" s="192">
        <f t="shared" si="75"/>
        <v>-17.74306081824183</v>
      </c>
      <c r="AD167" s="195">
        <f t="shared" si="76"/>
        <v>15.329766081578967</v>
      </c>
      <c r="AE167" s="195" t="str">
        <f t="shared" si="77"/>
        <v>0.0272155275475497-0.00242852447706404i</v>
      </c>
      <c r="AF167" s="192">
        <f t="shared" si="78"/>
        <v>-31.269220948430036</v>
      </c>
      <c r="AG167" s="195">
        <f t="shared" si="79"/>
        <v>-5.0991715502482657</v>
      </c>
      <c r="AI167" s="195" t="str">
        <f t="shared" si="80"/>
        <v>0.002-0.00251646060522435i</v>
      </c>
      <c r="AJ167" s="195">
        <f t="shared" si="81"/>
        <v>0.22500000000000001</v>
      </c>
      <c r="AK167" s="195" t="str">
        <f t="shared" si="82"/>
        <v>0.0375-5.0329212104487i</v>
      </c>
      <c r="AL167" s="195" t="str">
        <f t="shared" si="83"/>
        <v>0.00200781291744113-0.00247158237128224i</v>
      </c>
      <c r="AM167" s="195" t="str">
        <f t="shared" si="84"/>
        <v>0.838303072147181-0.224644968391021i</v>
      </c>
      <c r="AN167" s="195" t="str">
        <f t="shared" si="85"/>
        <v>0.006+2.73708044057648i</v>
      </c>
      <c r="AO167" s="195" t="str">
        <f t="shared" si="86"/>
        <v>-0.012264284509206-0.0113253551917904i</v>
      </c>
      <c r="AP167" s="195">
        <f t="shared" si="93"/>
        <v>-35.548998945217498</v>
      </c>
      <c r="AQ167" s="195">
        <f t="shared" si="94"/>
        <v>-137.27931862059583</v>
      </c>
      <c r="AS167" s="195" t="str">
        <f t="shared" si="87"/>
        <v>0.857144140530994-0.235688370552444i</v>
      </c>
      <c r="AT167" s="195" t="str">
        <f t="shared" si="88"/>
        <v>-0.0125645396361148-0.0116392761775227i</v>
      </c>
      <c r="AU167" s="195">
        <f t="shared" si="95"/>
        <v>-35.326281109613106</v>
      </c>
      <c r="AV167" s="195">
        <f t="shared" si="96"/>
        <v>-137.18923700962102</v>
      </c>
    </row>
    <row r="168" spans="6:48" x14ac:dyDescent="0.2">
      <c r="F168" s="195">
        <v>166</v>
      </c>
      <c r="G168" s="210">
        <f t="shared" si="65"/>
        <v>148.68538961123065</v>
      </c>
      <c r="H168" s="210">
        <f t="shared" si="66"/>
        <v>129.99744143580381</v>
      </c>
      <c r="I168" s="196">
        <f t="shared" si="67"/>
        <v>0</v>
      </c>
      <c r="J168" s="195">
        <f t="shared" si="89"/>
        <v>0</v>
      </c>
      <c r="K168" s="195">
        <f t="shared" si="90"/>
        <v>1</v>
      </c>
      <c r="L168" s="195">
        <f>10^('Small Signal'!F168/30)</f>
        <v>341454.88738336053</v>
      </c>
      <c r="M168" s="195" t="str">
        <f t="shared" si="68"/>
        <v>2145424.33147179i</v>
      </c>
      <c r="N168" s="195">
        <f>IF(D$32=1, IF(AND('Small Signal'!$B$62&gt;=1,FCCM=0),V168+0,S168+0), 0)</f>
        <v>-36.59690399695868</v>
      </c>
      <c r="O168" s="195">
        <f>IF(D$32=1, IF(AND('Small Signal'!$B$62&gt;=1,FCCM=0),W168,T168), 0)</f>
        <v>-137.79293900118162</v>
      </c>
      <c r="P168" s="195">
        <f>IF(AND('Small Signal'!$B$62&gt;=1,FCCM=0),AF168+0,AC168+0)</f>
        <v>-18.94375251295255</v>
      </c>
      <c r="Q168" s="195">
        <f>IF(AND('Small Signal'!$B$62&gt;=1,FCCM=0),AG168,AD168)</f>
        <v>12.130068848647864</v>
      </c>
      <c r="R168" s="195" t="str">
        <f>IMDIV(IMSUM('Small Signal'!$B$2*'Small Signal'!$B$39*'Small Signal'!$B$63,IMPRODUCT(M168,'Small Signal'!$B$2*'Small Signal'!$B$39*'Small Signal'!$B$63*'Small Signal'!$B$14*'Small Signal'!$B$15)),IMSUM(IMPRODUCT('Small Signal'!$B$12*'Small Signal'!$B$14*('Small Signal'!$B$15+'Small Signal'!$B$39),IMPOWER(M168,2)),IMSUM(IMPRODUCT(M168,('Small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-0.00593962663280172-0.00791020571675904i</v>
      </c>
      <c r="S168" s="195">
        <f t="shared" si="91"/>
        <v>-36.59690399695868</v>
      </c>
      <c r="T168" s="195">
        <f t="shared" si="92"/>
        <v>-137.79293900118162</v>
      </c>
      <c r="U168" s="195" t="str">
        <f>IMDIV(IMSUM('Small Signal'!$B$75,IMPRODUCT(M168,'Small Signal'!$B$76)),IMSUM(IMPRODUCT('Small Signal'!$B$79,IMPOWER(M168,2)),IMSUM(IMPRODUCT(M168,'Small Signal'!$B$78),'Small Signal'!$B$77)))</f>
        <v>-0.00381217773166865-0.00382239645909795i</v>
      </c>
      <c r="V168" s="195">
        <f t="shared" si="69"/>
        <v>-45.354595779868134</v>
      </c>
      <c r="W168" s="195">
        <f t="shared" si="70"/>
        <v>-134.92331077157374</v>
      </c>
      <c r="X168" s="195" t="str">
        <f>IMPRODUCT(IMDIV(IMSUM(IMPRODUCT(M168,'Small Signal'!$B$58*'Small Signal'!$B$6*'Small Signal'!$B$51*'Small Signal'!$B$7*'Small Signal'!$B$8),'Small Signal'!$B$58*'Small Signal'!$B$6*'Small Signal'!$B$51),IMSUM(IMSUM(IMPRODUCT(M168,('Small Signal'!$B$5+'Small Signal'!$B$6)*('Small Signal'!$B$57*'Small Signal'!$B$58)+'Small Signal'!$B$5*'Small Signal'!$B$58*('Small Signal'!$B$8+'Small Signal'!$B$9)+'Small Signal'!$B$6*'Small Signal'!$B$58*('Small Signal'!$B$8+'Small Signal'!$B$9)+'Small Signal'!$B$7*'Small Signal'!$B$8*('Small Signal'!$B$5+'Small Signal'!$B$6)),'Small Signal'!$B$6+'Small Signal'!$B$5),IMPRODUCT(IMPOWER(M168,2),'Small Signal'!$B$57*'Small Signal'!$B$58*'Small Signal'!$B$8*'Small Signal'!$B$7*('Small Signal'!$B$5+'Small Signal'!$B$6)+('Small Signal'!$B$5+'Small Signal'!$B$6)*('Small Signal'!$B$9*'Small Signal'!$B$8*'Small Signal'!$B$58*'Small Signal'!$B$7)))),-1)</f>
        <v>-2.73301580434535+3.31039424134051i</v>
      </c>
      <c r="Y168" s="195">
        <f t="shared" si="71"/>
        <v>17.65315148400612</v>
      </c>
      <c r="Z168" s="195">
        <f t="shared" si="72"/>
        <v>149.9230078498295</v>
      </c>
      <c r="AA168" s="195" t="str">
        <f t="shared" si="73"/>
        <v>1.66664447331918+0.619170540129955i</v>
      </c>
      <c r="AB168" s="195" t="str">
        <f t="shared" si="74"/>
        <v>0.110409396955505+0.0237303365122374i</v>
      </c>
      <c r="AC168" s="192">
        <f t="shared" si="75"/>
        <v>-18.94375251295255</v>
      </c>
      <c r="AD168" s="195">
        <f t="shared" si="76"/>
        <v>12.130068848647864</v>
      </c>
      <c r="AE168" s="195" t="str">
        <f t="shared" si="77"/>
        <v>0.023072381215942-0.00217314127669403i</v>
      </c>
      <c r="AF168" s="192">
        <f t="shared" si="78"/>
        <v>-32.699793613116405</v>
      </c>
      <c r="AG168" s="195">
        <f t="shared" si="79"/>
        <v>-5.3807005286491707</v>
      </c>
      <c r="AI168" s="195" t="str">
        <f t="shared" si="80"/>
        <v>0.002-0.00233054129509659i</v>
      </c>
      <c r="AJ168" s="195">
        <f t="shared" si="81"/>
        <v>0.22500000000000001</v>
      </c>
      <c r="AK168" s="195" t="str">
        <f t="shared" si="82"/>
        <v>0.0375-4.66108259019318i</v>
      </c>
      <c r="AL168" s="195" t="str">
        <f t="shared" si="83"/>
        <v>0.00200391642146025-0.00228913626644401i</v>
      </c>
      <c r="AM168" s="195" t="str">
        <f t="shared" si="84"/>
        <v>0.829086761383209-0.239899284013185i</v>
      </c>
      <c r="AN168" s="195" t="str">
        <f t="shared" si="85"/>
        <v>0.006+2.95543147702747i</v>
      </c>
      <c r="AO168" s="195" t="str">
        <f t="shared" si="86"/>
        <v>-0.0109599843018519-0.00994036837755874i</v>
      </c>
      <c r="AP168" s="195">
        <f t="shared" si="93"/>
        <v>-36.59690399695868</v>
      </c>
      <c r="AQ168" s="195">
        <f t="shared" si="94"/>
        <v>-137.79293900118162</v>
      </c>
      <c r="AS168" s="195" t="str">
        <f t="shared" si="87"/>
        <v>0.847262780649692-0.251556622637986i</v>
      </c>
      <c r="AT168" s="195" t="str">
        <f t="shared" si="88"/>
        <v>-0.0112417468607422-0.0102038717875325i</v>
      </c>
      <c r="AU168" s="195">
        <f t="shared" si="95"/>
        <v>-36.37336848195627</v>
      </c>
      <c r="AV168" s="195">
        <f t="shared" si="96"/>
        <v>-137.77070583304197</v>
      </c>
    </row>
    <row r="169" spans="6:48" x14ac:dyDescent="0.2">
      <c r="F169" s="195">
        <v>167</v>
      </c>
      <c r="G169" s="210">
        <f t="shared" si="65"/>
        <v>145.69013585919433</v>
      </c>
      <c r="H169" s="210">
        <f t="shared" si="66"/>
        <v>127.79937899717208</v>
      </c>
      <c r="I169" s="196">
        <f t="shared" si="67"/>
        <v>0</v>
      </c>
      <c r="J169" s="195">
        <f t="shared" si="89"/>
        <v>0</v>
      </c>
      <c r="K169" s="195">
        <f t="shared" si="90"/>
        <v>1</v>
      </c>
      <c r="L169" s="195">
        <f>10^('Small Signal'!F169/30)</f>
        <v>368694.50645195803</v>
      </c>
      <c r="M169" s="195" t="str">
        <f t="shared" si="68"/>
        <v>2316575.90577677i</v>
      </c>
      <c r="N169" s="195">
        <f>IF(D$32=1, IF(AND('Small Signal'!$B$62&gt;=1,FCCM=0),V169+0,S169+0), 0)</f>
        <v>-37.637904383854874</v>
      </c>
      <c r="O169" s="195">
        <f>IF(D$32=1, IF(AND('Small Signal'!$B$62&gt;=1,FCCM=0),W169,T169), 0)</f>
        <v>-138.27561106947635</v>
      </c>
      <c r="P169" s="195">
        <f>IF(AND('Small Signal'!$B$62&gt;=1,FCCM=0),AF169+0,AC169+0)</f>
        <v>-20.175118350565025</v>
      </c>
      <c r="Q169" s="195">
        <f>IF(AND('Small Signal'!$B$62&gt;=1,FCCM=0),AG169,AD169)</f>
        <v>8.9065472419538345</v>
      </c>
      <c r="R169" s="195" t="str">
        <f>IMDIV(IMSUM('Small Signal'!$B$2*'Small Signal'!$B$39*'Small Signal'!$B$63,IMPRODUCT(M169,'Small Signal'!$B$2*'Small Signal'!$B$39*'Small Signal'!$B$63*'Small Signal'!$B$14*'Small Signal'!$B$15)),IMSUM(IMPRODUCT('Small Signal'!$B$12*'Small Signal'!$B$14*('Small Signal'!$B$15+'Small Signal'!$B$39),IMPOWER(M169,2)),IMSUM(IMPRODUCT(M169,('Small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-0.00512690946291878-0.00715644713279033i</v>
      </c>
      <c r="S169" s="195">
        <f t="shared" si="91"/>
        <v>-37.637904383854874</v>
      </c>
      <c r="T169" s="195">
        <f t="shared" si="92"/>
        <v>-138.27561106947635</v>
      </c>
      <c r="U169" s="195" t="str">
        <f>IMDIV(IMSUM('Small Signal'!$B$75,IMPRODUCT(M169,'Small Signal'!$B$76)),IMSUM(IMPRODUCT('Small Signal'!$B$79,IMPOWER(M169,2)),IMSUM(IMPRODUCT(M169,'Small Signal'!$B$78),'Small Signal'!$B$77)))</f>
        <v>-0.00327190823209541-0.00350045983676386i</v>
      </c>
      <c r="V169" s="195">
        <f t="shared" si="69"/>
        <v>-46.390545502523153</v>
      </c>
      <c r="W169" s="195">
        <f t="shared" si="70"/>
        <v>-133.06713482286227</v>
      </c>
      <c r="X169" s="195" t="str">
        <f>IMPRODUCT(IMDIV(IMSUM(IMPRODUCT(M169,'Small Signal'!$B$58*'Small Signal'!$B$6*'Small Signal'!$B$51*'Small Signal'!$B$7*'Small Signal'!$B$8),'Small Signal'!$B$58*'Small Signal'!$B$6*'Small Signal'!$B$51),IMSUM(IMSUM(IMPRODUCT(M169,('Small Signal'!$B$5+'Small Signal'!$B$6)*('Small Signal'!$B$57*'Small Signal'!$B$58)+'Small Signal'!$B$5*'Small Signal'!$B$58*('Small Signal'!$B$8+'Small Signal'!$B$9)+'Small Signal'!$B$6*'Small Signal'!$B$58*('Small Signal'!$B$8+'Small Signal'!$B$9)+'Small Signal'!$B$7*'Small Signal'!$B$8*('Small Signal'!$B$5+'Small Signal'!$B$6)),'Small Signal'!$B$6+'Small Signal'!$B$5),IMPRODUCT(IMPOWER(M169,2),'Small Signal'!$B$57*'Small Signal'!$B$58*'Small Signal'!$B$8*'Small Signal'!$B$7*('Small Signal'!$B$5+'Small Signal'!$B$6)+('Small Signal'!$B$5+'Small Signal'!$B$6)*('Small Signal'!$B$9*'Small Signal'!$B$8*'Small Signal'!$B$58*'Small Signal'!$B$7)))),-1)</f>
        <v>-2.4956069404343+3.25547290815538i</v>
      </c>
      <c r="Y169" s="195">
        <f t="shared" si="71"/>
        <v>17.462786033289845</v>
      </c>
      <c r="Z169" s="195">
        <f t="shared" si="72"/>
        <v>147.18215831143019</v>
      </c>
      <c r="AA169" s="195" t="str">
        <f t="shared" si="73"/>
        <v>1.71367963983683+0.613883521068967i</v>
      </c>
      <c r="AB169" s="195" t="str">
        <f t="shared" si="74"/>
        <v>0.0968223480597862+0.0151733105822289i</v>
      </c>
      <c r="AC169" s="192">
        <f t="shared" si="75"/>
        <v>-20.175118350565025</v>
      </c>
      <c r="AD169" s="195">
        <f t="shared" si="76"/>
        <v>8.9065472419538345</v>
      </c>
      <c r="AE169" s="195" t="str">
        <f t="shared" si="77"/>
        <v>0.0195610490571522-0.00191583674421777i</v>
      </c>
      <c r="AF169" s="192">
        <f t="shared" si="78"/>
        <v>-34.130695912611429</v>
      </c>
      <c r="AG169" s="195">
        <f t="shared" si="79"/>
        <v>-5.5937888341090352</v>
      </c>
      <c r="AI169" s="195" t="str">
        <f t="shared" si="80"/>
        <v>0.002-0.00215835794006648i</v>
      </c>
      <c r="AJ169" s="195">
        <f t="shared" si="81"/>
        <v>0.22500000000000001</v>
      </c>
      <c r="AK169" s="195" t="str">
        <f t="shared" si="82"/>
        <v>0.0375-4.31671588013297i</v>
      </c>
      <c r="AL169" s="195" t="str">
        <f t="shared" si="83"/>
        <v>0.00200057399763158-0.00212017066768378i</v>
      </c>
      <c r="AM169" s="195" t="str">
        <f t="shared" si="84"/>
        <v>0.818593964703278-0.255758951587317i</v>
      </c>
      <c r="AN169" s="195" t="str">
        <f t="shared" si="85"/>
        <v>0.006+3.19120150285575i</v>
      </c>
      <c r="AO169" s="195" t="str">
        <f t="shared" si="86"/>
        <v>-0.00979603204479959-0.00873542899022618i</v>
      </c>
      <c r="AP169" s="195">
        <f t="shared" si="93"/>
        <v>-37.637904383854874</v>
      </c>
      <c r="AQ169" s="195">
        <f t="shared" si="94"/>
        <v>-138.27561106947635</v>
      </c>
      <c r="AS169" s="195" t="str">
        <f t="shared" si="87"/>
        <v>0.83602581098296-0.268022124739164i</v>
      </c>
      <c r="AT169" s="195" t="str">
        <f t="shared" si="88"/>
        <v>-0.0100584093317791-0.00895497921660665i</v>
      </c>
      <c r="AU169" s="195">
        <f t="shared" si="95"/>
        <v>-37.414507077977305</v>
      </c>
      <c r="AV169" s="195">
        <f t="shared" si="96"/>
        <v>-138.32139926789412</v>
      </c>
    </row>
    <row r="170" spans="6:48" x14ac:dyDescent="0.2">
      <c r="F170" s="195">
        <v>168</v>
      </c>
      <c r="G170" s="210">
        <f t="shared" si="65"/>
        <v>142.67632173024947</v>
      </c>
      <c r="H170" s="210">
        <f t="shared" si="66"/>
        <v>125.61005710146679</v>
      </c>
      <c r="I170" s="196">
        <f t="shared" si="67"/>
        <v>0</v>
      </c>
      <c r="J170" s="195">
        <f t="shared" si="89"/>
        <v>0</v>
      </c>
      <c r="K170" s="195">
        <f t="shared" si="90"/>
        <v>1</v>
      </c>
      <c r="L170" s="195">
        <f>10^('Small Signal'!F170/30)</f>
        <v>398107.17055349716</v>
      </c>
      <c r="M170" s="195" t="str">
        <f t="shared" si="68"/>
        <v>2501381.12470457i</v>
      </c>
      <c r="N170" s="195">
        <f>IF(D$32=1, IF(AND('Small Signal'!$B$62&gt;=1,FCCM=0),V170+0,S170+0), 0)</f>
        <v>-38.671592322379396</v>
      </c>
      <c r="O170" s="195">
        <f>IF(D$32=1, IF(AND('Small Signal'!$B$62&gt;=1,FCCM=0),W170,T170), 0)</f>
        <v>-138.74466267490314</v>
      </c>
      <c r="P170" s="195">
        <f>IF(AND('Small Signal'!$B$62&gt;=1,FCCM=0),AF170+0,AC170+0)</f>
        <v>-21.436979586382812</v>
      </c>
      <c r="Q170" s="195">
        <f>IF(AND('Small Signal'!$B$62&gt;=1,FCCM=0),AG170,AD170)</f>
        <v>5.6672017488732598</v>
      </c>
      <c r="R170" s="195" t="str">
        <f>IMDIV(IMSUM('Small Signal'!$B$2*'Small Signal'!$B$39*'Small Signal'!$B$63,IMPRODUCT(M170,'Small Signal'!$B$2*'Small Signal'!$B$39*'Small Signal'!$B$63*'Small Signal'!$B$14*'Small Signal'!$B$15)),IMSUM(IMPRODUCT('Small Signal'!$B$12*'Small Signal'!$B$14*('Small Signal'!$B$15+'Small Signal'!$B$39),IMPOWER(M170,2)),IMSUM(IMPRODUCT(M170,('Small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-0.00442151008068376-0.00649173185655416i</v>
      </c>
      <c r="S170" s="195">
        <f t="shared" si="91"/>
        <v>-38.671592322379396</v>
      </c>
      <c r="T170" s="195">
        <f t="shared" si="92"/>
        <v>-138.74466267490314</v>
      </c>
      <c r="U170" s="195" t="str">
        <f>IMDIV(IMSUM('Small Signal'!$B$75,IMPRODUCT(M170,'Small Signal'!$B$76)),IMSUM(IMPRODUCT('Small Signal'!$B$79,IMPOWER(M170,2)),IMSUM(IMPRODUCT(M170,'Small Signal'!$B$78),'Small Signal'!$B$77)))</f>
        <v>-0.00280793595680167-0.00321041130000701i</v>
      </c>
      <c r="V170" s="195">
        <f t="shared" si="69"/>
        <v>-47.401375757568474</v>
      </c>
      <c r="W170" s="195">
        <f t="shared" si="70"/>
        <v>-131.17405697133455</v>
      </c>
      <c r="X170" s="195" t="str">
        <f>IMPRODUCT(IMDIV(IMSUM(IMPRODUCT(M170,'Small Signal'!$B$58*'Small Signal'!$B$6*'Small Signal'!$B$51*'Small Signal'!$B$7*'Small Signal'!$B$8),'Small Signal'!$B$58*'Small Signal'!$B$6*'Small Signal'!$B$51),IMSUM(IMSUM(IMPRODUCT(M170,('Small Signal'!$B$5+'Small Signal'!$B$6)*('Small Signal'!$B$57*'Small Signal'!$B$58)+'Small Signal'!$B$5*'Small Signal'!$B$58*('Small Signal'!$B$8+'Small Signal'!$B$9)+'Small Signal'!$B$6*'Small Signal'!$B$58*('Small Signal'!$B$8+'Small Signal'!$B$9)+'Small Signal'!$B$7*'Small Signal'!$B$8*('Small Signal'!$B$5+'Small Signal'!$B$6)),'Small Signal'!$B$6+'Small Signal'!$B$5),IMPRODUCT(IMPOWER(M170,2),'Small Signal'!$B$57*'Small Signal'!$B$58*'Small Signal'!$B$8*'Small Signal'!$B$7*('Small Signal'!$B$5+'Small Signal'!$B$6)+('Small Signal'!$B$5+'Small Signal'!$B$6)*('Small Signal'!$B$9*'Small Signal'!$B$8*'Small Signal'!$B$58*'Small Signal'!$B$7)))),-1)</f>
        <v>-2.2660979964499+3.18475320201704i</v>
      </c>
      <c r="Y170" s="195">
        <f t="shared" si="71"/>
        <v>17.234612735996581</v>
      </c>
      <c r="Z170" s="195">
        <f t="shared" si="72"/>
        <v>144.41186442377639</v>
      </c>
      <c r="AA170" s="195" t="str">
        <f t="shared" si="73"/>
        <v>1.75964970391206+0.605149540452582i</v>
      </c>
      <c r="AB170" s="195" t="str">
        <f t="shared" si="74"/>
        <v>0.0843379612024717+0.00836929123864264i</v>
      </c>
      <c r="AC170" s="192">
        <f t="shared" si="75"/>
        <v>-21.436979586382812</v>
      </c>
      <c r="AD170" s="195">
        <f t="shared" si="76"/>
        <v>5.6672017488732598</v>
      </c>
      <c r="AE170" s="195" t="str">
        <f t="shared" si="77"/>
        <v>0.0165874257133569-0.0016674764147569i</v>
      </c>
      <c r="AF170" s="192">
        <f t="shared" si="78"/>
        <v>-35.560752462462212</v>
      </c>
      <c r="AG170" s="195">
        <f t="shared" si="79"/>
        <v>-5.7404610582282158</v>
      </c>
      <c r="AI170" s="195" t="str">
        <f t="shared" si="80"/>
        <v>0.002-0.00199889571030106i</v>
      </c>
      <c r="AJ170" s="195">
        <f t="shared" si="81"/>
        <v>0.22500000000000001</v>
      </c>
      <c r="AK170" s="195" t="str">
        <f t="shared" si="82"/>
        <v>0.0375-3.99779142060212i</v>
      </c>
      <c r="AL170" s="195" t="str">
        <f t="shared" si="83"/>
        <v>0.00199770677699047-0.00196369205574941i</v>
      </c>
      <c r="AM170" s="195" t="str">
        <f t="shared" si="84"/>
        <v>0.806690729645609-0.272146469133112i</v>
      </c>
      <c r="AN170" s="195" t="str">
        <f t="shared" si="85"/>
        <v>0.006+3.4457801207665i</v>
      </c>
      <c r="AO170" s="195" t="str">
        <f t="shared" si="86"/>
        <v>-0.00876012327768815-0.00768386569105631i</v>
      </c>
      <c r="AP170" s="195">
        <f t="shared" si="93"/>
        <v>-38.671592322379396</v>
      </c>
      <c r="AQ170" s="195">
        <f t="shared" si="94"/>
        <v>-138.74466267490314</v>
      </c>
      <c r="AS170" s="195" t="str">
        <f t="shared" si="87"/>
        <v>0.823295082150231-0.284996688952771i</v>
      </c>
      <c r="AT170" s="195" t="str">
        <f t="shared" si="88"/>
        <v>-0.00900282018809842-0.00786524222534019i</v>
      </c>
      <c r="AU170" s="195">
        <f t="shared" si="95"/>
        <v>-38.449288517717207</v>
      </c>
      <c r="AV170" s="195">
        <f t="shared" si="96"/>
        <v>-138.85817115334461</v>
      </c>
    </row>
    <row r="171" spans="6:48" x14ac:dyDescent="0.2">
      <c r="F171" s="195">
        <v>169</v>
      </c>
      <c r="G171" s="210">
        <f t="shared" si="65"/>
        <v>139.66822591309392</v>
      </c>
      <c r="H171" s="210">
        <f t="shared" si="66"/>
        <v>123.44212121244672</v>
      </c>
      <c r="I171" s="196">
        <f t="shared" si="67"/>
        <v>0</v>
      </c>
      <c r="J171" s="195">
        <f t="shared" si="89"/>
        <v>0</v>
      </c>
      <c r="K171" s="195">
        <f t="shared" si="90"/>
        <v>1</v>
      </c>
      <c r="L171" s="195">
        <f>10^('Small Signal'!F171/30)</f>
        <v>429866.2347082285</v>
      </c>
      <c r="M171" s="195" t="str">
        <f t="shared" si="68"/>
        <v>2700929.20997135i</v>
      </c>
      <c r="N171" s="195">
        <f>IF(D$32=1, IF(AND('Small Signal'!$B$62&gt;=1,FCCM=0),V171+0,S171+0), 0)</f>
        <v>-39.69805016106568</v>
      </c>
      <c r="O171" s="195">
        <f>IF(D$32=1, IF(AND('Small Signal'!$B$62&gt;=1,FCCM=0),W171,T171), 0)</f>
        <v>-139.21758320652393</v>
      </c>
      <c r="P171" s="195">
        <f>IF(AND('Small Signal'!$B$62&gt;=1,FCCM=0),AF171+0,AC171+0)</f>
        <v>-22.729042488771704</v>
      </c>
      <c r="Q171" s="195">
        <f>IF(AND('Small Signal'!$B$62&gt;=1,FCCM=0),AG171,AD171)</f>
        <v>2.4189615688017807</v>
      </c>
      <c r="R171" s="195" t="str">
        <f>IMDIV(IMSUM('Small Signal'!$B$2*'Small Signal'!$B$39*'Small Signal'!$B$63,IMPRODUCT(M171,'Small Signal'!$B$2*'Small Signal'!$B$39*'Small Signal'!$B$63*'Small Signal'!$B$14*'Small Signal'!$B$15)),IMSUM(IMPRODUCT('Small Signal'!$B$12*'Small Signal'!$B$14*('Small Signal'!$B$15+'Small Signal'!$B$39),IMPOWER(M171,2)),IMSUM(IMPRODUCT(M171,('Small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-0.00381026651140493-0.0059030756763496i</v>
      </c>
      <c r="S171" s="195">
        <f t="shared" si="91"/>
        <v>-39.69805016106568</v>
      </c>
      <c r="T171" s="195">
        <f t="shared" si="92"/>
        <v>-139.21758320652393</v>
      </c>
      <c r="U171" s="195" t="str">
        <f>IMDIV(IMSUM('Small Signal'!$B$75,IMPRODUCT(M171,'Small Signal'!$B$76)),IMSUM(IMPRODUCT('Small Signal'!$B$79,IMPOWER(M171,2)),IMSUM(IMPRODUCT(M171,'Small Signal'!$B$78),'Small Signal'!$B$77)))</f>
        <v>-0.00240955776743758-0.00294823721370458i</v>
      </c>
      <c r="V171" s="195">
        <f t="shared" si="69"/>
        <v>-48.386897686770318</v>
      </c>
      <c r="W171" s="195">
        <f t="shared" si="70"/>
        <v>-129.25870377246383</v>
      </c>
      <c r="X171" s="195" t="str">
        <f>IMPRODUCT(IMDIV(IMSUM(IMPRODUCT(M171,'Small Signal'!$B$58*'Small Signal'!$B$6*'Small Signal'!$B$51*'Small Signal'!$B$7*'Small Signal'!$B$8),'Small Signal'!$B$58*'Small Signal'!$B$6*'Small Signal'!$B$51),IMSUM(IMSUM(IMPRODUCT(M171,('Small Signal'!$B$5+'Small Signal'!$B$6)*('Small Signal'!$B$57*'Small Signal'!$B$58)+'Small Signal'!$B$5*'Small Signal'!$B$58*('Small Signal'!$B$8+'Small Signal'!$B$9)+'Small Signal'!$B$6*'Small Signal'!$B$58*('Small Signal'!$B$8+'Small Signal'!$B$9)+'Small Signal'!$B$7*'Small Signal'!$B$8*('Small Signal'!$B$5+'Small Signal'!$B$6)),'Small Signal'!$B$6+'Small Signal'!$B$5),IMPRODUCT(IMPOWER(M171,2),'Small Signal'!$B$57*'Small Signal'!$B$58*'Small Signal'!$B$8*'Small Signal'!$B$7*('Small Signal'!$B$5+'Small Signal'!$B$6)+('Small Signal'!$B$5+'Small Signal'!$B$6)*('Small Signal'!$B$9*'Small Signal'!$B$8*'Small Signal'!$B$58*'Small Signal'!$B$7)))),-1)</f>
        <v>-2.04664923797398+3.09982079753658i</v>
      </c>
      <c r="Y171" s="195">
        <f t="shared" si="71"/>
        <v>16.969007672293969</v>
      </c>
      <c r="Z171" s="195">
        <f t="shared" si="72"/>
        <v>141.63654477532572</v>
      </c>
      <c r="AA171" s="195" t="str">
        <f t="shared" si="73"/>
        <v>1.80407189950523+0.593213309420769i</v>
      </c>
      <c r="AB171" s="195" t="str">
        <f t="shared" si="74"/>
        <v>0.0729727495834263+0.00308265687882592i</v>
      </c>
      <c r="AC171" s="192">
        <f t="shared" si="75"/>
        <v>-22.729042488771704</v>
      </c>
      <c r="AD171" s="195">
        <f t="shared" si="76"/>
        <v>2.4189615688017807</v>
      </c>
      <c r="AE171" s="195" t="str">
        <f t="shared" si="77"/>
        <v>0.0140705265996932-0.00143518983357381i</v>
      </c>
      <c r="AF171" s="192">
        <f t="shared" si="78"/>
        <v>-36.988842642838556</v>
      </c>
      <c r="AG171" s="195">
        <f t="shared" si="79"/>
        <v>-5.82401188093879</v>
      </c>
      <c r="AI171" s="195" t="str">
        <f t="shared" si="80"/>
        <v>0.002-0.00185121475288611i</v>
      </c>
      <c r="AJ171" s="195">
        <f t="shared" si="81"/>
        <v>0.22500000000000001</v>
      </c>
      <c r="AK171" s="195" t="str">
        <f t="shared" si="82"/>
        <v>0.0375-3.70242950577223i</v>
      </c>
      <c r="AL171" s="195" t="str">
        <f t="shared" si="83"/>
        <v>0.00199524709793591-0.00181878002571618i</v>
      </c>
      <c r="AM171" s="195" t="str">
        <f t="shared" si="84"/>
        <v>0.793242378319558-0.288958104167926i</v>
      </c>
      <c r="AN171" s="195" t="str">
        <f t="shared" si="85"/>
        <v>0.006+3.72066778924625i</v>
      </c>
      <c r="AO171" s="195" t="str">
        <f t="shared" si="86"/>
        <v>-0.00783981007982625-0.00676294513643937i</v>
      </c>
      <c r="AP171" s="195">
        <f t="shared" si="93"/>
        <v>-39.69805016106568</v>
      </c>
      <c r="AQ171" s="195">
        <f t="shared" si="94"/>
        <v>-139.21758320652393</v>
      </c>
      <c r="AS171" s="195" t="str">
        <f t="shared" si="87"/>
        <v>0.808933149642834-0.302364123576157i</v>
      </c>
      <c r="AT171" s="195" t="str">
        <f t="shared" si="88"/>
        <v>-0.00806296120305407-0.00691127454435349i</v>
      </c>
      <c r="AU171" s="195">
        <f t="shared" si="95"/>
        <v>-39.477792344016372</v>
      </c>
      <c r="AV171" s="195">
        <f t="shared" si="96"/>
        <v>-139.39802969005075</v>
      </c>
    </row>
    <row r="172" spans="6:48" x14ac:dyDescent="0.2">
      <c r="F172" s="195">
        <v>170</v>
      </c>
      <c r="G172" s="210">
        <f t="shared" si="65"/>
        <v>136.68840379119132</v>
      </c>
      <c r="H172" s="210">
        <f t="shared" si="66"/>
        <v>121.30760491629789</v>
      </c>
      <c r="I172" s="196">
        <f t="shared" si="67"/>
        <v>0</v>
      </c>
      <c r="J172" s="195">
        <f t="shared" si="89"/>
        <v>0</v>
      </c>
      <c r="K172" s="195">
        <f t="shared" si="90"/>
        <v>0</v>
      </c>
      <c r="L172" s="195">
        <f>10^('Small Signal'!F172/30)</f>
        <v>464158.88336127886</v>
      </c>
      <c r="M172" s="195" t="str">
        <f t="shared" si="68"/>
        <v>2916396.27613247i</v>
      </c>
      <c r="N172" s="195">
        <f>IF(D$32=1, IF(AND('Small Signal'!$B$62&gt;=1,FCCM=0),V172+0,S172+0), 0)</f>
        <v>-40.717848772391548</v>
      </c>
      <c r="O172" s="195">
        <f>IF(D$32=1, IF(AND('Small Signal'!$B$62&gt;=1,FCCM=0),W172,T172), 0)</f>
        <v>-139.71137975822276</v>
      </c>
      <c r="P172" s="195">
        <f>IF(AND('Small Signal'!$B$62&gt;=1,FCCM=0),AF172+0,AC172+0)</f>
        <v>-24.050959077313181</v>
      </c>
      <c r="Q172" s="195">
        <f>IF(AND('Small Signal'!$B$62&gt;=1,FCCM=0),AG172,AD172)</f>
        <v>-0.83236264579006047</v>
      </c>
      <c r="R172" s="195" t="str">
        <f>IMDIV(IMSUM('Small Signal'!$B$2*'Small Signal'!$B$39*'Small Signal'!$B$63,IMPRODUCT(M172,'Small Signal'!$B$2*'Small Signal'!$B$39*'Small Signal'!$B$63*'Small Signal'!$B$14*'Small Signal'!$B$15)),IMSUM(IMPRODUCT('Small Signal'!$B$12*'Small Signal'!$B$14*('Small Signal'!$B$15+'Small Signal'!$B$39),IMPOWER(M172,2)),IMSUM(IMPRODUCT(M172,('Small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-0.00328136549306257-0.00537963245935271i</v>
      </c>
      <c r="S172" s="195">
        <f t="shared" si="91"/>
        <v>-40.717848772391548</v>
      </c>
      <c r="T172" s="195">
        <f t="shared" si="92"/>
        <v>-139.71137975822276</v>
      </c>
      <c r="U172" s="195" t="str">
        <f>IMDIV(IMSUM('Small Signal'!$B$75,IMPRODUCT(M172,'Small Signal'!$B$76)),IMSUM(IMPRODUCT('Small Signal'!$B$79,IMPOWER(M172,2)),IMSUM(IMPRODUCT(M172,'Small Signal'!$B$78),'Small Signal'!$B$77)))</f>
        <v>-0.00206755301683228-0.00271055860377116i</v>
      </c>
      <c r="V172" s="195">
        <f t="shared" si="69"/>
        <v>-49.347227378728498</v>
      </c>
      <c r="W172" s="195">
        <f t="shared" si="70"/>
        <v>-127.3355718970564</v>
      </c>
      <c r="X172" s="195" t="str">
        <f>IMPRODUCT(IMDIV(IMSUM(IMPRODUCT(M172,'Small Signal'!$B$58*'Small Signal'!$B$6*'Small Signal'!$B$51*'Small Signal'!$B$7*'Small Signal'!$B$8),'Small Signal'!$B$58*'Small Signal'!$B$6*'Small Signal'!$B$51),IMSUM(IMSUM(IMPRODUCT(M172,('Small Signal'!$B$5+'Small Signal'!$B$6)*('Small Signal'!$B$57*'Small Signal'!$B$58)+'Small Signal'!$B$5*'Small Signal'!$B$58*('Small Signal'!$B$8+'Small Signal'!$B$9)+'Small Signal'!$B$6*'Small Signal'!$B$58*('Small Signal'!$B$8+'Small Signal'!$B$9)+'Small Signal'!$B$7*'Small Signal'!$B$8*('Small Signal'!$B$5+'Small Signal'!$B$6)),'Small Signal'!$B$6+'Small Signal'!$B$5),IMPRODUCT(IMPOWER(M172,2),'Small Signal'!$B$57*'Small Signal'!$B$58*'Small Signal'!$B$8*'Small Signal'!$B$7*('Small Signal'!$B$5+'Small Signal'!$B$6)+('Small Signal'!$B$5+'Small Signal'!$B$6)*('Small Signal'!$B$9*'Small Signal'!$B$8*'Small Signal'!$B$58*'Small Signal'!$B$7)))),-1)</f>
        <v>-1.83901193830032+3.00255967765199i</v>
      </c>
      <c r="Y172" s="195">
        <f t="shared" si="71"/>
        <v>16.666889695078375</v>
      </c>
      <c r="Z172" s="195">
        <f t="shared" si="72"/>
        <v>138.87901711243268</v>
      </c>
      <c r="AA172" s="195" t="str">
        <f t="shared" si="73"/>
        <v>1.8465301825265+0.578395779759238i</v>
      </c>
      <c r="AB172" s="195" t="str">
        <f t="shared" si="74"/>
        <v>0.0627200240451265-0.000911227293602063i</v>
      </c>
      <c r="AC172" s="192">
        <f t="shared" si="75"/>
        <v>-24.050959077313181</v>
      </c>
      <c r="AD172" s="195">
        <f t="shared" si="76"/>
        <v>-0.83236264579006047</v>
      </c>
      <c r="AE172" s="195" t="str">
        <f t="shared" si="77"/>
        <v>0.0119408686486194-0.00122320168795052i</v>
      </c>
      <c r="AF172" s="192">
        <f t="shared" si="78"/>
        <v>-38.413945927556888</v>
      </c>
      <c r="AG172" s="195">
        <f t="shared" si="79"/>
        <v>-5.8488777379018497</v>
      </c>
      <c r="AI172" s="195" t="str">
        <f t="shared" si="80"/>
        <v>0.002-0.00171444465243614i</v>
      </c>
      <c r="AJ172" s="195">
        <f t="shared" si="81"/>
        <v>0.22500000000000001</v>
      </c>
      <c r="AK172" s="195" t="str">
        <f t="shared" si="82"/>
        <v>0.0375-3.42888930487229i</v>
      </c>
      <c r="AL172" s="195" t="str">
        <f t="shared" si="83"/>
        <v>0.0019931369119806-0.00168458196135038i</v>
      </c>
      <c r="AM172" s="195" t="str">
        <f t="shared" si="84"/>
        <v>0.778118116957293-0.306060886438455i</v>
      </c>
      <c r="AN172" s="195" t="str">
        <f t="shared" si="85"/>
        <v>0.006+4.01748466610085i</v>
      </c>
      <c r="AO172" s="195" t="str">
        <f t="shared" si="86"/>
        <v>-0.00702289880154233-0.00595345367541547i</v>
      </c>
      <c r="AP172" s="195">
        <f t="shared" si="93"/>
        <v>-40.717848772391548</v>
      </c>
      <c r="AQ172" s="195">
        <f t="shared" si="94"/>
        <v>-139.71137975822276</v>
      </c>
      <c r="AS172" s="195" t="str">
        <f t="shared" si="87"/>
        <v>0.792808425854376-0.319977335057178i</v>
      </c>
      <c r="AT172" s="195" t="str">
        <f t="shared" si="88"/>
        <v>-0.00722693531357284-0.00607326316042473i</v>
      </c>
      <c r="AU172" s="195">
        <f t="shared" si="95"/>
        <v>-40.50058353404448</v>
      </c>
      <c r="AV172" s="195">
        <f t="shared" si="96"/>
        <v>-139.9574831351112</v>
      </c>
    </row>
    <row r="173" spans="6:48" x14ac:dyDescent="0.2">
      <c r="F173" s="195">
        <v>171</v>
      </c>
      <c r="G173" s="210">
        <f t="shared" si="65"/>
        <v>133.75721435113539</v>
      </c>
      <c r="H173" s="210">
        <f t="shared" si="66"/>
        <v>119.21761410438677</v>
      </c>
      <c r="I173" s="196">
        <f t="shared" si="67"/>
        <v>0</v>
      </c>
      <c r="J173" s="195">
        <f t="shared" si="89"/>
        <v>0</v>
      </c>
      <c r="K173" s="195">
        <f t="shared" si="90"/>
        <v>0</v>
      </c>
      <c r="L173" s="195">
        <f>10^('Small Signal'!F173/30)</f>
        <v>501187.23362727347</v>
      </c>
      <c r="M173" s="195" t="str">
        <f t="shared" si="68"/>
        <v>3149052.26247287i</v>
      </c>
      <c r="N173" s="195">
        <f>IF(D$32=1, IF(AND('Small Signal'!$B$62&gt;=1,FCCM=0),V173+0,S173+0), 0)</f>
        <v>-41.732024823861906</v>
      </c>
      <c r="O173" s="195">
        <f>IF(D$32=1, IF(AND('Small Signal'!$B$62&gt;=1,FCCM=0),W173,T173), 0)</f>
        <v>-140.24194295451275</v>
      </c>
      <c r="P173" s="195">
        <f>IF(AND('Small Signal'!$B$62&gt;=1,FCCM=0),AF173+0,AC173+0)</f>
        <v>-25.402385131670222</v>
      </c>
      <c r="Q173" s="195">
        <f>IF(AND('Small Signal'!$B$62&gt;=1,FCCM=0),AG173,AD173)</f>
        <v>-4.081986411367855</v>
      </c>
      <c r="R173" s="195" t="str">
        <f>IMDIV(IMSUM('Small Signal'!$B$2*'Small Signal'!$B$39*'Small Signal'!$B$63,IMPRODUCT(M173,'Small Signal'!$B$2*'Small Signal'!$B$39*'Small Signal'!$B$63*'Small Signal'!$B$14*'Small Signal'!$B$15)),IMSUM(IMPRODUCT('Small Signal'!$B$12*'Small Signal'!$B$14*('Small Signal'!$B$15+'Small Signal'!$B$39),IMPOWER(M173,2)),IMSUM(IMPRODUCT(M173,('Small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-0.00282427730870499-0.00491233543930849i</v>
      </c>
      <c r="S173" s="195">
        <f t="shared" si="91"/>
        <v>-41.732024823861906</v>
      </c>
      <c r="T173" s="195">
        <f t="shared" si="92"/>
        <v>-140.24194295451275</v>
      </c>
      <c r="U173" s="195" t="str">
        <f>IMDIV(IMSUM('Small Signal'!$B$75,IMPRODUCT(M173,'Small Signal'!$B$76)),IMSUM(IMPRODUCT('Small Signal'!$B$79,IMPOWER(M173,2)),IMSUM(IMPRODUCT(M173,'Small Signal'!$B$78),'Small Signal'!$B$77)))</f>
        <v>-0.00177398325610862-0.00249451561759604i</v>
      </c>
      <c r="V173" s="195">
        <f t="shared" si="69"/>
        <v>-50.282778016620625</v>
      </c>
      <c r="W173" s="195">
        <f t="shared" si="70"/>
        <v>-125.41866436619064</v>
      </c>
      <c r="X173" s="195" t="str">
        <f>IMPRODUCT(IMDIV(IMSUM(IMPRODUCT(M173,'Small Signal'!$B$58*'Small Signal'!$B$6*'Small Signal'!$B$51*'Small Signal'!$B$7*'Small Signal'!$B$8),'Small Signal'!$B$58*'Small Signal'!$B$6*'Small Signal'!$B$51),IMSUM(IMSUM(IMPRODUCT(M173,('Small Signal'!$B$5+'Small Signal'!$B$6)*('Small Signal'!$B$57*'Small Signal'!$B$58)+'Small Signal'!$B$5*'Small Signal'!$B$58*('Small Signal'!$B$8+'Small Signal'!$B$9)+'Small Signal'!$B$6*'Small Signal'!$B$58*('Small Signal'!$B$8+'Small Signal'!$B$9)+'Small Signal'!$B$7*'Small Signal'!$B$8*('Small Signal'!$B$5+'Small Signal'!$B$6)),'Small Signal'!$B$6+'Small Signal'!$B$5),IMPRODUCT(IMPOWER(M173,2),'Small Signal'!$B$57*'Small Signal'!$B$58*'Small Signal'!$B$8*'Small Signal'!$B$7*('Small Signal'!$B$5+'Small Signal'!$B$6)+('Small Signal'!$B$5+'Small Signal'!$B$6)*('Small Signal'!$B$9*'Small Signal'!$B$8*'Small Signal'!$B$58*'Small Signal'!$B$7)))),-1)</f>
        <v>-1.64449358062674+2.89504043801803i</v>
      </c>
      <c r="Y173" s="195">
        <f t="shared" si="71"/>
        <v>16.32963969219168</v>
      </c>
      <c r="Z173" s="195">
        <f t="shared" si="72"/>
        <v>136.15995654314492</v>
      </c>
      <c r="AA173" s="195" t="str">
        <f t="shared" si="73"/>
        <v>1.88668815552546+0.561074126582128i</v>
      </c>
      <c r="AB173" s="195" t="str">
        <f t="shared" si="74"/>
        <v>0.0535522386848433-0.00382174943859238i</v>
      </c>
      <c r="AC173" s="192">
        <f t="shared" si="75"/>
        <v>-25.402385131670222</v>
      </c>
      <c r="AD173" s="195">
        <f t="shared" si="76"/>
        <v>-4.081986411367855</v>
      </c>
      <c r="AE173" s="195" t="str">
        <f t="shared" si="77"/>
        <v>0.010139027663018-0.00103353834289152i</v>
      </c>
      <c r="AF173" s="192">
        <f t="shared" si="78"/>
        <v>-39.835178817751164</v>
      </c>
      <c r="AG173" s="195">
        <f t="shared" si="79"/>
        <v>-5.8204342217179823</v>
      </c>
      <c r="AI173" s="195" t="str">
        <f t="shared" si="80"/>
        <v>0.002-0.00158777930096137i</v>
      </c>
      <c r="AJ173" s="195">
        <f t="shared" si="81"/>
        <v>0.22500000000000001</v>
      </c>
      <c r="AK173" s="195" t="str">
        <f t="shared" si="82"/>
        <v>0.0375-3.17555860192274i</v>
      </c>
      <c r="AL173" s="195" t="str">
        <f t="shared" si="83"/>
        <v>0.00199132641560867-0.0015603080886144i</v>
      </c>
      <c r="AM173" s="195" t="str">
        <f t="shared" si="84"/>
        <v>0.7611968866762-0.323290275478349i</v>
      </c>
      <c r="AN173" s="195" t="str">
        <f t="shared" si="85"/>
        <v>0.006+4.33798015748814i</v>
      </c>
      <c r="AO173" s="195" t="str">
        <f t="shared" si="86"/>
        <v>-0.0062977434365596-0.00523927628327839i</v>
      </c>
      <c r="AP173" s="195">
        <f t="shared" si="93"/>
        <v>-41.732024823861906</v>
      </c>
      <c r="AQ173" s="195">
        <f t="shared" si="94"/>
        <v>-140.24194295451275</v>
      </c>
      <c r="AS173" s="195" t="str">
        <f t="shared" si="87"/>
        <v>0.774801613689073-0.337656263151546i</v>
      </c>
      <c r="AT173" s="195" t="str">
        <f t="shared" si="88"/>
        <v>-0.00648329260149226-0.00533455833610663i</v>
      </c>
      <c r="AU173" s="195">
        <f t="shared" si="95"/>
        <v>-41.518688199217848</v>
      </c>
      <c r="AV173" s="195">
        <f t="shared" si="96"/>
        <v>-140.55189776542898</v>
      </c>
    </row>
    <row r="174" spans="6:48" x14ac:dyDescent="0.2">
      <c r="F174" s="195">
        <v>172</v>
      </c>
      <c r="G174" s="210">
        <f t="shared" si="65"/>
        <v>130.89249137366636</v>
      </c>
      <c r="H174" s="210">
        <f t="shared" si="66"/>
        <v>117.18207185647748</v>
      </c>
      <c r="I174" s="196">
        <f t="shared" si="67"/>
        <v>0</v>
      </c>
      <c r="J174" s="195">
        <f t="shared" si="89"/>
        <v>0</v>
      </c>
      <c r="K174" s="195">
        <f t="shared" si="90"/>
        <v>0</v>
      </c>
      <c r="L174" s="195">
        <f>10^('Small Signal'!F174/30)</f>
        <v>541169.52654646419</v>
      </c>
      <c r="M174" s="195" t="str">
        <f t="shared" si="68"/>
        <v>3400268.41789008i</v>
      </c>
      <c r="N174" s="195">
        <f>IF(D$32=1, IF(AND('Small Signal'!$B$62&gt;=1,FCCM=0),V174+0,S174+0), 0)</f>
        <v>-42.742037491593919</v>
      </c>
      <c r="O174" s="195">
        <f>IF(D$32=1, IF(AND('Small Signal'!$B$62&gt;=1,FCCM=0),W174,T174), 0)</f>
        <v>-140.82345559424257</v>
      </c>
      <c r="P174" s="195">
        <f>IF(AND('Small Signal'!$B$62&gt;=1,FCCM=0),AF174+0,AC174+0)</f>
        <v>-26.783028367628319</v>
      </c>
      <c r="Q174" s="195">
        <f>IF(AND('Small Signal'!$B$62&gt;=1,FCCM=0),AG174,AD174)</f>
        <v>-7.3259371921024732</v>
      </c>
      <c r="R174" s="195" t="str">
        <f>IMDIV(IMSUM('Small Signal'!$B$2*'Small Signal'!$B$39*'Small Signal'!$B$63,IMPRODUCT(M174,'Small Signal'!$B$2*'Small Signal'!$B$39*'Small Signal'!$B$63*'Small Signal'!$B$14*'Small Signal'!$B$15)),IMSUM(IMPRODUCT('Small Signal'!$B$12*'Small Signal'!$B$14*('Small Signal'!$B$15+'Small Signal'!$B$39),IMPOWER(M174,2)),IMSUM(IMPRODUCT(M174,('Small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-0.00242967052837444-0.00449359400304679i</v>
      </c>
      <c r="S174" s="195">
        <f t="shared" si="91"/>
        <v>-42.742037491593919</v>
      </c>
      <c r="T174" s="195">
        <f t="shared" si="92"/>
        <v>-140.82345559424257</v>
      </c>
      <c r="U174" s="195" t="str">
        <f>IMDIV(IMSUM('Small Signal'!$B$75,IMPRODUCT(M174,'Small Signal'!$B$76)),IMSUM(IMPRODUCT('Small Signal'!$B$79,IMPOWER(M174,2)),IMSUM(IMPRODUCT(M174,'Small Signal'!$B$78),'Small Signal'!$B$77)))</f>
        <v>-0.00152201764658136-0.00229767435668862i</v>
      </c>
      <c r="V174" s="195">
        <f t="shared" si="69"/>
        <v>-51.194238965265335</v>
      </c>
      <c r="W174" s="195">
        <f t="shared" si="70"/>
        <v>-123.52115241423722</v>
      </c>
      <c r="X174" s="195" t="str">
        <f>IMPRODUCT(IMDIV(IMSUM(IMPRODUCT(M174,'Small Signal'!$B$58*'Small Signal'!$B$6*'Small Signal'!$B$51*'Small Signal'!$B$7*'Small Signal'!$B$8),'Small Signal'!$B$58*'Small Signal'!$B$6*'Small Signal'!$B$51),IMSUM(IMSUM(IMPRODUCT(M174,('Small Signal'!$B$5+'Small Signal'!$B$6)*('Small Signal'!$B$57*'Small Signal'!$B$58)+'Small Signal'!$B$5*'Small Signal'!$B$58*('Small Signal'!$B$8+'Small Signal'!$B$9)+'Small Signal'!$B$6*'Small Signal'!$B$58*('Small Signal'!$B$8+'Small Signal'!$B$9)+'Small Signal'!$B$7*'Small Signal'!$B$8*('Small Signal'!$B$5+'Small Signal'!$B$6)),'Small Signal'!$B$6+'Small Signal'!$B$5),IMPRODUCT(IMPOWER(M174,2),'Small Signal'!$B$57*'Small Signal'!$B$58*'Small Signal'!$B$8*'Small Signal'!$B$7*('Small Signal'!$B$5+'Small Signal'!$B$6)+('Small Signal'!$B$5+'Small Signal'!$B$6)*('Small Signal'!$B$9*'Small Signal'!$B$8*'Small Signal'!$B$58*'Small Signal'!$B$7)))),-1)</f>
        <v>-1.46395490307419+2.77941080767768i</v>
      </c>
      <c r="Y174" s="195">
        <f t="shared" si="71"/>
        <v>15.959009123965609</v>
      </c>
      <c r="Z174" s="195">
        <f t="shared" si="72"/>
        <v>133.49751840214009</v>
      </c>
      <c r="AA174" s="195" t="str">
        <f t="shared" si="73"/>
        <v>1.92429557582217+0.541660137771872i</v>
      </c>
      <c r="AB174" s="195" t="str">
        <f t="shared" si="74"/>
        <v>0.0454243590775539-0.00583989638985036i</v>
      </c>
      <c r="AC174" s="192">
        <f t="shared" si="75"/>
        <v>-26.783028367628319</v>
      </c>
      <c r="AD174" s="195">
        <f t="shared" si="76"/>
        <v>-7.3259371921024732</v>
      </c>
      <c r="AE174" s="195" t="str">
        <f t="shared" si="77"/>
        <v>0.00861434613578243-0.000866620656242238i</v>
      </c>
      <c r="AF174" s="192">
        <f t="shared" si="78"/>
        <v>-41.251820634721298</v>
      </c>
      <c r="AG174" s="195">
        <f t="shared" si="79"/>
        <v>-5.7447430101302208</v>
      </c>
      <c r="AI174" s="195" t="str">
        <f t="shared" si="80"/>
        <v>0.002-0.00147047214675557i</v>
      </c>
      <c r="AJ174" s="195">
        <f t="shared" si="81"/>
        <v>0.22500000000000001</v>
      </c>
      <c r="AK174" s="195" t="str">
        <f t="shared" si="82"/>
        <v>0.0375-2.94094429351115i</v>
      </c>
      <c r="AL174" s="195" t="str">
        <f t="shared" si="83"/>
        <v>0.00198977287616684-0.00144522688334465i</v>
      </c>
      <c r="AM174" s="195" t="str">
        <f t="shared" si="84"/>
        <v>0.742374439552884-0.340448936383749i</v>
      </c>
      <c r="AN174" s="195" t="str">
        <f t="shared" si="85"/>
        <v>0.006+4.68404322872613i</v>
      </c>
      <c r="AO174" s="195" t="str">
        <f t="shared" si="86"/>
        <v>-0.00565345137341121-0.0046069898527136i</v>
      </c>
      <c r="AP174" s="195">
        <f t="shared" si="93"/>
        <v>-42.742037491593919</v>
      </c>
      <c r="AQ174" s="195">
        <f t="shared" si="94"/>
        <v>-140.82345559424257</v>
      </c>
      <c r="AS174" s="195" t="str">
        <f t="shared" si="87"/>
        <v>0.754813361367244-0.355187117612832i</v>
      </c>
      <c r="AT174" s="195" t="str">
        <f t="shared" si="88"/>
        <v>-0.00582126482853444-0.00468126981948778i</v>
      </c>
      <c r="AU174" s="195">
        <f t="shared" si="95"/>
        <v>-42.533548167670588</v>
      </c>
      <c r="AV174" s="195">
        <f t="shared" si="96"/>
        <v>-141.19490272470125</v>
      </c>
    </row>
    <row r="175" spans="6:48" x14ac:dyDescent="0.2">
      <c r="F175" s="195">
        <v>173</v>
      </c>
      <c r="G175" s="210">
        <f t="shared" si="65"/>
        <v>128.10935812150913</v>
      </c>
      <c r="H175" s="210">
        <f t="shared" si="66"/>
        <v>115.20953576576437</v>
      </c>
      <c r="I175" s="196">
        <f t="shared" si="67"/>
        <v>0</v>
      </c>
      <c r="J175" s="195">
        <f t="shared" si="89"/>
        <v>0</v>
      </c>
      <c r="K175" s="195">
        <f t="shared" si="90"/>
        <v>0</v>
      </c>
      <c r="L175" s="195">
        <f>10^('Small Signal'!F175/30)</f>
        <v>584341.41337351827</v>
      </c>
      <c r="M175" s="195" t="str">
        <f t="shared" si="68"/>
        <v>3671525.38288504i</v>
      </c>
      <c r="N175" s="195">
        <f>IF(D$32=1, IF(AND('Small Signal'!$B$62&gt;=1,FCCM=0),V175+0,S175+0), 0)</f>
        <v>-43.749706521760842</v>
      </c>
      <c r="O175" s="195">
        <f>IF(D$32=1, IF(AND('Small Signal'!$B$62&gt;=1,FCCM=0),W175,T175), 0)</f>
        <v>-141.4678756654173</v>
      </c>
      <c r="P175" s="195">
        <f>IF(AND('Small Signal'!$B$62&gt;=1,FCCM=0),AF175+0,AC175+0)</f>
        <v>-28.192681310254706</v>
      </c>
      <c r="Q175" s="195">
        <f>IF(AND('Small Signal'!$B$62&gt;=1,FCCM=0),AG175,AD175)</f>
        <v>-10.56075083983378</v>
      </c>
      <c r="R175" s="195" t="str">
        <f>IMDIV(IMSUM('Small Signal'!$B$2*'Small Signal'!$B$39*'Small Signal'!$B$63,IMPRODUCT(M175,'Small Signal'!$B$2*'Small Signal'!$B$39*'Small Signal'!$B$63*'Small Signal'!$B$14*'Small Signal'!$B$15)),IMSUM(IMPRODUCT('Small Signal'!$B$12*'Small Signal'!$B$14*('Small Signal'!$B$15+'Small Signal'!$B$39),IMPOWER(M175,2)),IMSUM(IMPRODUCT(M175,('Small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-0.00208931585111239-0.00411703943427945i</v>
      </c>
      <c r="S175" s="195">
        <f t="shared" si="91"/>
        <v>-43.749706521760842</v>
      </c>
      <c r="T175" s="195">
        <f t="shared" si="92"/>
        <v>-141.4678756654173</v>
      </c>
      <c r="U175" s="195" t="str">
        <f>IMDIV(IMSUM('Small Signal'!$B$75,IMPRODUCT(M175,'Small Signal'!$B$76)),IMSUM(IMPRODUCT('Small Signal'!$B$79,IMPOWER(M175,2)),IMSUM(IMPRODUCT(M175,'Small Signal'!$B$78),'Small Signal'!$B$77)))</f>
        <v>-0.00130578114953015-0.00211795167270261i</v>
      </c>
      <c r="V175" s="195">
        <f t="shared" si="69"/>
        <v>-52.08254369665741</v>
      </c>
      <c r="W175" s="195">
        <f t="shared" si="70"/>
        <v>-121.65508560640649</v>
      </c>
      <c r="X175" s="195" t="str">
        <f>IMPRODUCT(IMDIV(IMSUM(IMPRODUCT(M175,'Small Signal'!$B$58*'Small Signal'!$B$6*'Small Signal'!$B$51*'Small Signal'!$B$7*'Small Signal'!$B$8),'Small Signal'!$B$58*'Small Signal'!$B$6*'Small Signal'!$B$51),IMSUM(IMSUM(IMPRODUCT(M175,('Small Signal'!$B$5+'Small Signal'!$B$6)*('Small Signal'!$B$57*'Small Signal'!$B$58)+'Small Signal'!$B$5*'Small Signal'!$B$58*('Small Signal'!$B$8+'Small Signal'!$B$9)+'Small Signal'!$B$6*'Small Signal'!$B$58*('Small Signal'!$B$8+'Small Signal'!$B$9)+'Small Signal'!$B$7*'Small Signal'!$B$8*('Small Signal'!$B$5+'Small Signal'!$B$6)),'Small Signal'!$B$6+'Small Signal'!$B$5),IMPRODUCT(IMPOWER(M175,2),'Small Signal'!$B$57*'Small Signal'!$B$58*'Small Signal'!$B$8*'Small Signal'!$B$7*('Small Signal'!$B$5+'Small Signal'!$B$6)+('Small Signal'!$B$5+'Small Signal'!$B$6)*('Small Signal'!$B$9*'Small Signal'!$B$8*'Small Signal'!$B$58*'Small Signal'!$B$7)))),-1)</f>
        <v>-1.29783417230393+2.65779725795628i</v>
      </c>
      <c r="Y175" s="195">
        <f t="shared" si="71"/>
        <v>15.55702521150614</v>
      </c>
      <c r="Z175" s="195">
        <f t="shared" si="72"/>
        <v>130.90712482558357</v>
      </c>
      <c r="AA175" s="195" t="str">
        <f t="shared" si="73"/>
        <v>1.95918871398313+0.520579100159235i</v>
      </c>
      <c r="AB175" s="195" t="str">
        <f t="shared" si="74"/>
        <v>0.0382777550646257-0.0071363509714336i</v>
      </c>
      <c r="AC175" s="192">
        <f t="shared" si="75"/>
        <v>-28.192681310254706</v>
      </c>
      <c r="AD175" s="195">
        <f t="shared" si="76"/>
        <v>-10.56075083983378</v>
      </c>
      <c r="AE175" s="195" t="str">
        <f t="shared" si="77"/>
        <v>0.00732377354560345-0.000721751502590516i</v>
      </c>
      <c r="AF175" s="192">
        <f t="shared" si="78"/>
        <v>-42.663326975611604</v>
      </c>
      <c r="AG175" s="195">
        <f t="shared" si="79"/>
        <v>-5.628275631288659</v>
      </c>
      <c r="AI175" s="195" t="str">
        <f t="shared" si="80"/>
        <v>0.002-0.00136183179430209i</v>
      </c>
      <c r="AJ175" s="195">
        <f t="shared" si="81"/>
        <v>0.22500000000000001</v>
      </c>
      <c r="AK175" s="195" t="str">
        <f t="shared" si="82"/>
        <v>0.0375-2.72366358860418i</v>
      </c>
      <c r="AL175" s="195" t="str">
        <f t="shared" si="83"/>
        <v>0.00198843962423566-0.00133866080935974i</v>
      </c>
      <c r="AM175" s="195" t="str">
        <f t="shared" si="84"/>
        <v>0.721571480750409-0.357307115167135i</v>
      </c>
      <c r="AN175" s="195" t="str">
        <f t="shared" si="85"/>
        <v>0.006+5.05771353764776i</v>
      </c>
      <c r="AO175" s="195" t="str">
        <f t="shared" si="86"/>
        <v>-0.00508001793160178-0.0040454811709134i</v>
      </c>
      <c r="AP175" s="195">
        <f t="shared" si="93"/>
        <v>-43.749706521760842</v>
      </c>
      <c r="AQ175" s="195">
        <f t="shared" si="94"/>
        <v>-141.4678756654173</v>
      </c>
      <c r="AS175" s="195" t="str">
        <f t="shared" si="87"/>
        <v>0.732772915198674-0.37232343136601i</v>
      </c>
      <c r="AT175" s="195" t="str">
        <f t="shared" si="88"/>
        <v>-0.00523092403818041-0.00410188172096556i</v>
      </c>
      <c r="AU175" s="195">
        <f t="shared" si="95"/>
        <v>-43.546956551942344</v>
      </c>
      <c r="AV175" s="195">
        <f t="shared" si="96"/>
        <v>-141.8978745702189</v>
      </c>
    </row>
    <row r="176" spans="6:48" x14ac:dyDescent="0.2">
      <c r="F176" s="195">
        <v>174</v>
      </c>
      <c r="G176" s="210">
        <f t="shared" si="65"/>
        <v>125.42017442301081</v>
      </c>
      <c r="H176" s="210">
        <f t="shared" si="66"/>
        <v>113.3070917091064</v>
      </c>
      <c r="I176" s="196">
        <f t="shared" si="67"/>
        <v>0</v>
      </c>
      <c r="J176" s="195">
        <f t="shared" si="89"/>
        <v>0</v>
      </c>
      <c r="K176" s="195">
        <f t="shared" si="90"/>
        <v>0</v>
      </c>
      <c r="L176" s="195">
        <f>10^('Small Signal'!F176/30)</f>
        <v>630957.34448019415</v>
      </c>
      <c r="M176" s="195" t="str">
        <f t="shared" si="68"/>
        <v>3964421.916295i</v>
      </c>
      <c r="N176" s="195">
        <f>IF(D$32=1, IF(AND('Small Signal'!$B$62&gt;=1,FCCM=0),V176+0,S176+0), 0)</f>
        <v>-44.757134745040631</v>
      </c>
      <c r="O176" s="195">
        <f>IF(D$32=1, IF(AND('Small Signal'!$B$62&gt;=1,FCCM=0),W176,T176), 0)</f>
        <v>-142.18452111214</v>
      </c>
      <c r="P176" s="195">
        <f>IF(AND('Small Signal'!$B$62&gt;=1,FCCM=0),AF176+0,AC176+0)</f>
        <v>-29.631235618745265</v>
      </c>
      <c r="Q176" s="195">
        <f>IF(AND('Small Signal'!$B$62&gt;=1,FCCM=0),AG176,AD176)</f>
        <v>-13.783120343904368</v>
      </c>
      <c r="R176" s="195" t="str">
        <f>IMDIV(IMSUM('Small Signal'!$B$2*'Small Signal'!$B$39*'Small Signal'!$B$63,IMPRODUCT(M176,'Small Signal'!$B$2*'Small Signal'!$B$39*'Small Signal'!$B$63*'Small Signal'!$B$14*'Small Signal'!$B$15)),IMSUM(IMPRODUCT('Small Signal'!$B$12*'Small Signal'!$B$14*('Small Signal'!$B$15+'Small Signal'!$B$39),IMPOWER(M176,2)),IMSUM(IMPRODUCT(M176,('Small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-0.0017959857405851-0.00377731309052057i</v>
      </c>
      <c r="S176" s="195">
        <f t="shared" si="91"/>
        <v>-44.757134745040631</v>
      </c>
      <c r="T176" s="195">
        <f t="shared" si="92"/>
        <v>-142.18452111214</v>
      </c>
      <c r="U176" s="195" t="str">
        <f>IMDIV(IMSUM('Small Signal'!$B$75,IMPRODUCT(M176,'Small Signal'!$B$76)),IMSUM(IMPRODUCT('Small Signal'!$B$79,IMPOWER(M176,2)),IMSUM(IMPRODUCT(M176,'Small Signal'!$B$78),'Small Signal'!$B$77)))</f>
        <v>-0.0011202227933687-0.00195355438220112i</v>
      </c>
      <c r="V176" s="195">
        <f t="shared" si="69"/>
        <v>-52.948829384401996</v>
      </c>
      <c r="W176" s="195">
        <f t="shared" si="70"/>
        <v>-119.83116688434474</v>
      </c>
      <c r="X176" s="195" t="str">
        <f>IMPRODUCT(IMDIV(IMSUM(IMPRODUCT(M176,'Small Signal'!$B$58*'Small Signal'!$B$6*'Small Signal'!$B$51*'Small Signal'!$B$7*'Small Signal'!$B$8),'Small Signal'!$B$58*'Small Signal'!$B$6*'Small Signal'!$B$51),IMSUM(IMSUM(IMPRODUCT(M176,('Small Signal'!$B$5+'Small Signal'!$B$6)*('Small Signal'!$B$57*'Small Signal'!$B$58)+'Small Signal'!$B$5*'Small Signal'!$B$58*('Small Signal'!$B$8+'Small Signal'!$B$9)+'Small Signal'!$B$6*'Small Signal'!$B$58*('Small Signal'!$B$8+'Small Signal'!$B$9)+'Small Signal'!$B$7*'Small Signal'!$B$8*('Small Signal'!$B$5+'Small Signal'!$B$6)),'Small Signal'!$B$6+'Small Signal'!$B$5),IMPRODUCT(IMPOWER(M176,2),'Small Signal'!$B$57*'Small Signal'!$B$58*'Small Signal'!$B$8*'Small Signal'!$B$7*('Small Signal'!$B$5+'Small Signal'!$B$6)+('Small Signal'!$B$5+'Small Signal'!$B$6)*('Small Signal'!$B$9*'Small Signal'!$B$8*'Small Signal'!$B$58*'Small Signal'!$B$7)))),-1)</f>
        <v>-1.1461919711603+2.5322237486392i</v>
      </c>
      <c r="Y176" s="195">
        <f t="shared" si="71"/>
        <v>15.125899126295369</v>
      </c>
      <c r="Z176" s="195">
        <f t="shared" si="72"/>
        <v>128.40140076823562</v>
      </c>
      <c r="AA176" s="195" t="str">
        <f t="shared" si="73"/>
        <v>1.99128547676738+0.498250884501886i</v>
      </c>
      <c r="AB176" s="195" t="str">
        <f t="shared" si="74"/>
        <v>0.0320441613620767-0.00786079172972639i</v>
      </c>
      <c r="AC176" s="192">
        <f t="shared" si="75"/>
        <v>-29.631235618745265</v>
      </c>
      <c r="AD176" s="195">
        <f t="shared" si="76"/>
        <v>-13.783120343904368</v>
      </c>
      <c r="AE176" s="195" t="str">
        <f t="shared" si="77"/>
        <v>0.00623082717253782-0.000597506413031222i</v>
      </c>
      <c r="AF176" s="192">
        <f t="shared" si="78"/>
        <v>-44.069331167941037</v>
      </c>
      <c r="AG176" s="195">
        <f t="shared" si="79"/>
        <v>-5.4776405763667162</v>
      </c>
      <c r="AI176" s="195" t="str">
        <f t="shared" si="80"/>
        <v>0.002-0.0012612179292644i</v>
      </c>
      <c r="AJ176" s="195">
        <f t="shared" si="81"/>
        <v>0.22500000000000001</v>
      </c>
      <c r="AK176" s="195" t="str">
        <f t="shared" si="82"/>
        <v>0.0375-2.52243585852881i</v>
      </c>
      <c r="AL176" s="195" t="str">
        <f t="shared" si="83"/>
        <v>0.0019872951888139-0.00123998236451932i</v>
      </c>
      <c r="AM176" s="195" t="str">
        <f t="shared" si="84"/>
        <v>0.698742530401628-0.373605117367973i</v>
      </c>
      <c r="AN176" s="195" t="str">
        <f t="shared" si="85"/>
        <v>0.006+5.46119345612066i</v>
      </c>
      <c r="AO176" s="195" t="str">
        <f t="shared" si="86"/>
        <v>-0.0045684042605967-0.00354559477165378i</v>
      </c>
      <c r="AP176" s="195">
        <f t="shared" si="93"/>
        <v>-44.757134745040631</v>
      </c>
      <c r="AQ176" s="195">
        <f t="shared" si="94"/>
        <v>-142.18452111214</v>
      </c>
      <c r="AS176" s="195" t="str">
        <f t="shared" si="87"/>
        <v>0.708647342474422-0.388789436073448i</v>
      </c>
      <c r="AT176" s="195" t="str">
        <f t="shared" si="88"/>
        <v>-0.00470327942181039-0.00358689314119545i</v>
      </c>
      <c r="AU176" s="195">
        <f t="shared" si="95"/>
        <v>-44.560977671067903</v>
      </c>
      <c r="AV176" s="195">
        <f t="shared" si="96"/>
        <v>-142.66952982243646</v>
      </c>
    </row>
    <row r="177" spans="6:48" x14ac:dyDescent="0.2">
      <c r="F177" s="195">
        <v>175</v>
      </c>
      <c r="G177" s="210">
        <f t="shared" si="65"/>
        <v>122.83459741290383</v>
      </c>
      <c r="H177" s="210">
        <f t="shared" si="66"/>
        <v>111.48032092698848</v>
      </c>
      <c r="I177" s="196">
        <f t="shared" si="67"/>
        <v>0</v>
      </c>
      <c r="J177" s="195">
        <f t="shared" si="89"/>
        <v>0</v>
      </c>
      <c r="K177" s="195">
        <f t="shared" si="90"/>
        <v>0</v>
      </c>
      <c r="L177" s="195">
        <f>10^('Small Signal'!F177/30)</f>
        <v>681292.06905796123</v>
      </c>
      <c r="M177" s="195" t="str">
        <f t="shared" si="68"/>
        <v>4280684.31820296i</v>
      </c>
      <c r="N177" s="195">
        <f>IF(D$32=1, IF(AND('Small Signal'!$B$62&gt;=1,FCCM=0),V177+0,S177+0), 0)</f>
        <v>-45.766619099497483</v>
      </c>
      <c r="O177" s="195">
        <f>IF(D$32=1, IF(AND('Small Signal'!$B$62&gt;=1,FCCM=0),W177,T177), 0)</f>
        <v>-142.97977761083914</v>
      </c>
      <c r="P177" s="195">
        <f>IF(AND('Small Signal'!$B$62&gt;=1,FCCM=0),AF177+0,AC177+0)</f>
        <v>-31.098677045617027</v>
      </c>
      <c r="Q177" s="195">
        <f>IF(AND('Small Signal'!$B$62&gt;=1,FCCM=0),AG177,AD177)</f>
        <v>-16.989541590232445</v>
      </c>
      <c r="R177" s="195" t="str">
        <f>IMDIV(IMSUM('Small Signal'!$B$2*'Small Signal'!$B$39*'Small Signal'!$B$63,IMPRODUCT(M177,'Small Signal'!$B$2*'Small Signal'!$B$39*'Small Signal'!$B$63*'Small Signal'!$B$14*'Small Signal'!$B$15)),IMSUM(IMPRODUCT('Small Signal'!$B$12*'Small Signal'!$B$14*('Small Signal'!$B$15+'Small Signal'!$B$39),IMPOWER(M177,2)),IMSUM(IMPRODUCT(M177,('Small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-0.00154335456063456-0.0034698908496414i</v>
      </c>
      <c r="S177" s="195">
        <f t="shared" si="91"/>
        <v>-45.766619099497483</v>
      </c>
      <c r="T177" s="195">
        <f t="shared" si="92"/>
        <v>-142.97977761083914</v>
      </c>
      <c r="U177" s="195" t="str">
        <f>IMDIV(IMSUM('Small Signal'!$B$75,IMPRODUCT(M177,'Small Signal'!$B$76)),IMSUM(IMPRODUCT('Small Signal'!$B$79,IMPOWER(M177,2)),IMSUM(IMPRODUCT(M177,'Small Signal'!$B$78),'Small Signal'!$B$77)))</f>
        <v>-0.000961001561030271-0.0018029300540603i</v>
      </c>
      <c r="V177" s="195">
        <f t="shared" si="69"/>
        <v>-53.794391503764452</v>
      </c>
      <c r="W177" s="195">
        <f t="shared" si="70"/>
        <v>-118.05860175642275</v>
      </c>
      <c r="X177" s="195" t="str">
        <f>IMPRODUCT(IMDIV(IMSUM(IMPRODUCT(M177,'Small Signal'!$B$58*'Small Signal'!$B$6*'Small Signal'!$B$51*'Small Signal'!$B$7*'Small Signal'!$B$8),'Small Signal'!$B$58*'Small Signal'!$B$6*'Small Signal'!$B$51),IMSUM(IMSUM(IMPRODUCT(M177,('Small Signal'!$B$5+'Small Signal'!$B$6)*('Small Signal'!$B$57*'Small Signal'!$B$58)+'Small Signal'!$B$5*'Small Signal'!$B$58*('Small Signal'!$B$8+'Small Signal'!$B$9)+'Small Signal'!$B$6*'Small Signal'!$B$58*('Small Signal'!$B$8+'Small Signal'!$B$9)+'Small Signal'!$B$7*'Small Signal'!$B$8*('Small Signal'!$B$5+'Small Signal'!$B$6)),'Small Signal'!$B$6+'Small Signal'!$B$5),IMPRODUCT(IMPOWER(M177,2),'Small Signal'!$B$57*'Small Signal'!$B$58*'Small Signal'!$B$8*'Small Signal'!$B$7*('Small Signal'!$B$5+'Small Signal'!$B$6)+('Small Signal'!$B$5+'Small Signal'!$B$6)*('Small Signal'!$B$9*'Small Signal'!$B$8*'Small Signal'!$B$58*'Small Signal'!$B$7)))),-1)</f>
        <v>-1.00876903515204+2.40455063463614i</v>
      </c>
      <c r="Y177" s="195">
        <f t="shared" si="71"/>
        <v>14.667942053880447</v>
      </c>
      <c r="Z177" s="195">
        <f t="shared" si="72"/>
        <v>125.99023602060666</v>
      </c>
      <c r="AA177" s="195" t="str">
        <f t="shared" si="73"/>
        <v>2.02057660599124+0.475074380444553i</v>
      </c>
      <c r="AB177" s="195" t="str">
        <f t="shared" si="74"/>
        <v>0.0266493543610903-0.00814220647915792i</v>
      </c>
      <c r="AC177" s="192">
        <f t="shared" si="75"/>
        <v>-31.098677045617027</v>
      </c>
      <c r="AD177" s="195">
        <f t="shared" si="76"/>
        <v>-16.989541590232445</v>
      </c>
      <c r="AE177" s="195" t="str">
        <f t="shared" si="77"/>
        <v>0.00530466522319538-0.000492036902380636i</v>
      </c>
      <c r="AF177" s="192">
        <f t="shared" si="78"/>
        <v>-45.469635313986259</v>
      </c>
      <c r="AG177" s="195">
        <f t="shared" si="79"/>
        <v>-5.299335922847118</v>
      </c>
      <c r="AI177" s="195" t="str">
        <f t="shared" si="80"/>
        <v>0.002-0.00116803754454358i</v>
      </c>
      <c r="AJ177" s="195">
        <f t="shared" si="81"/>
        <v>0.22500000000000001</v>
      </c>
      <c r="AK177" s="195" t="str">
        <f t="shared" si="82"/>
        <v>0.0375-2.33607508908716i</v>
      </c>
      <c r="AL177" s="195" t="str">
        <f t="shared" si="83"/>
        <v>0.00198631255498896-0.0011486104135244i</v>
      </c>
      <c r="AM177" s="195" t="str">
        <f t="shared" si="84"/>
        <v>0.673884941455183-0.389058334297825i</v>
      </c>
      <c r="AN177" s="195" t="str">
        <f t="shared" si="85"/>
        <v>0.006+5.89686105058571i</v>
      </c>
      <c r="AO177" s="195" t="str">
        <f t="shared" si="86"/>
        <v>-0.00411057060305911-0.00309981238207711i</v>
      </c>
      <c r="AP177" s="195">
        <f t="shared" si="93"/>
        <v>-45.766619099497483</v>
      </c>
      <c r="AQ177" s="195">
        <f t="shared" si="94"/>
        <v>-142.97977761083914</v>
      </c>
      <c r="AS177" s="195" t="str">
        <f t="shared" si="87"/>
        <v>0.682450668591031-0.40428617476247i</v>
      </c>
      <c r="AT177" s="195" t="str">
        <f t="shared" si="88"/>
        <v>-0.00423032442029967-0.00312848792364654i</v>
      </c>
      <c r="AU177" s="195">
        <f t="shared" si="95"/>
        <v>-45.577855704318509</v>
      </c>
      <c r="AV177" s="195">
        <f t="shared" si="96"/>
        <v>-143.51564717181535</v>
      </c>
    </row>
    <row r="178" spans="6:48" x14ac:dyDescent="0.2">
      <c r="F178" s="195">
        <v>176</v>
      </c>
      <c r="G178" s="210">
        <f t="shared" si="65"/>
        <v>120.35973264112242</v>
      </c>
      <c r="H178" s="210">
        <f t="shared" si="66"/>
        <v>109.7333316572898</v>
      </c>
      <c r="I178" s="196">
        <f t="shared" si="67"/>
        <v>0</v>
      </c>
      <c r="J178" s="195">
        <f t="shared" si="89"/>
        <v>0</v>
      </c>
      <c r="K178" s="195">
        <f t="shared" si="90"/>
        <v>0</v>
      </c>
      <c r="L178" s="195">
        <f>10^('Small Signal'!F178/30)</f>
        <v>735642.25445964152</v>
      </c>
      <c r="M178" s="195" t="str">
        <f t="shared" si="68"/>
        <v>4622176.60456129i</v>
      </c>
      <c r="N178" s="195">
        <f>IF(D$32=1, IF(AND('Small Signal'!$B$62&gt;=1,FCCM=0),V178+0,S178+0), 0)</f>
        <v>-46.78055486922559</v>
      </c>
      <c r="O178" s="195">
        <f>IF(D$32=1, IF(AND('Small Signal'!$B$62&gt;=1,FCCM=0),W178,T178), 0)</f>
        <v>-143.8569432549663</v>
      </c>
      <c r="P178" s="195">
        <f>IF(AND('Small Signal'!$B$62&gt;=1,FCCM=0),AF178+0,AC178+0)</f>
        <v>-32.595062506287618</v>
      </c>
      <c r="Q178" s="195">
        <f>IF(AND('Small Signal'!$B$62&gt;=1,FCCM=0),AG178,AD178)</f>
        <v>-20.175998266623786</v>
      </c>
      <c r="R178" s="195" t="str">
        <f>IMDIV(IMSUM('Small Signal'!$B$2*'Small Signal'!$B$39*'Small Signal'!$B$63,IMPRODUCT(M178,'Small Signal'!$B$2*'Small Signal'!$B$39*'Small Signal'!$B$63*'Small Signal'!$B$14*'Small Signal'!$B$15)),IMSUM(IMPRODUCT('Small Signal'!$B$12*'Small Signal'!$B$14*('Small Signal'!$B$15+'Small Signal'!$B$39),IMPOWER(M178,2)),IMSUM(IMPRODUCT(M178,('Small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-0.0013259023770814-0.00319093821370671i</v>
      </c>
      <c r="S178" s="195">
        <f t="shared" si="91"/>
        <v>-46.78055486922559</v>
      </c>
      <c r="T178" s="195">
        <f t="shared" si="92"/>
        <v>-143.8569432549663</v>
      </c>
      <c r="U178" s="195" t="str">
        <f>IMDIV(IMSUM('Small Signal'!$B$75,IMPRODUCT(M178,'Small Signal'!$B$76)),IMSUM(IMPRODUCT('Small Signal'!$B$79,IMPOWER(M178,2)),IMSUM(IMPRODUCT(M178,'Small Signal'!$B$78),'Small Signal'!$B$77)))</f>
        <v>-0.000824387685602366-0.00166472708666011i</v>
      </c>
      <c r="V178" s="195">
        <f t="shared" si="69"/>
        <v>-54.620636827346047</v>
      </c>
      <c r="W178" s="195">
        <f t="shared" si="70"/>
        <v>-116.3450231861723</v>
      </c>
      <c r="X178" s="195" t="str">
        <f>IMPRODUCT(IMDIV(IMSUM(IMPRODUCT(M178,'Small Signal'!$B$58*'Small Signal'!$B$6*'Small Signal'!$B$51*'Small Signal'!$B$7*'Small Signal'!$B$8),'Small Signal'!$B$58*'Small Signal'!$B$6*'Small Signal'!$B$51),IMSUM(IMSUM(IMPRODUCT(M178,('Small Signal'!$B$5+'Small Signal'!$B$6)*('Small Signal'!$B$57*'Small Signal'!$B$58)+'Small Signal'!$B$5*'Small Signal'!$B$58*('Small Signal'!$B$8+'Small Signal'!$B$9)+'Small Signal'!$B$6*'Small Signal'!$B$58*('Small Signal'!$B$8+'Small Signal'!$B$9)+'Small Signal'!$B$7*'Small Signal'!$B$8*('Small Signal'!$B$5+'Small Signal'!$B$6)),'Small Signal'!$B$6+'Small Signal'!$B$5),IMPRODUCT(IMPOWER(M178,2),'Small Signal'!$B$57*'Small Signal'!$B$58*'Small Signal'!$B$8*'Small Signal'!$B$7*('Small Signal'!$B$5+'Small Signal'!$B$6)+('Small Signal'!$B$5+'Small Signal'!$B$6)*('Small Signal'!$B$9*'Small Signal'!$B$8*'Small Signal'!$B$58*'Small Signal'!$B$7)))),-1)</f>
        <v>-0.885050058855203+2.27643406299235i</v>
      </c>
      <c r="Y178" s="195">
        <f t="shared" si="71"/>
        <v>14.18549236293798</v>
      </c>
      <c r="Z178" s="195">
        <f t="shared" si="72"/>
        <v>123.68094498834253</v>
      </c>
      <c r="AA178" s="195" t="str">
        <f t="shared" si="73"/>
        <v>2.04711440113596+0.451415846843367i</v>
      </c>
      <c r="AB178" s="195" t="str">
        <f t="shared" si="74"/>
        <v>0.0220163244559475-0.00808996041908998i</v>
      </c>
      <c r="AC178" s="192">
        <f t="shared" si="75"/>
        <v>-32.595062506287618</v>
      </c>
      <c r="AD178" s="195">
        <f t="shared" si="76"/>
        <v>-20.175998266623786</v>
      </c>
      <c r="AE178" s="195" t="str">
        <f t="shared" si="77"/>
        <v>0.00451926581532097-0.000403297402590273i</v>
      </c>
      <c r="AF178" s="192">
        <f t="shared" si="78"/>
        <v>-46.864193334274333</v>
      </c>
      <c r="AG178" s="195">
        <f t="shared" si="79"/>
        <v>-5.0995430903875061</v>
      </c>
      <c r="AI178" s="195" t="str">
        <f t="shared" si="80"/>
        <v>0.002-0.00108174144515938i</v>
      </c>
      <c r="AJ178" s="195">
        <f t="shared" si="81"/>
        <v>0.22500000000000001</v>
      </c>
      <c r="AK178" s="195" t="str">
        <f t="shared" si="82"/>
        <v>0.0375-2.16348289031876i</v>
      </c>
      <c r="AL178" s="195" t="str">
        <f t="shared" si="83"/>
        <v>0.00198546852663384-0.00106400678750637i</v>
      </c>
      <c r="AM178" s="195" t="str">
        <f t="shared" si="84"/>
        <v>0.647047289718284-0.403365107076433i</v>
      </c>
      <c r="AN178" s="195" t="str">
        <f t="shared" si="85"/>
        <v>0.006+6.36728409812014i</v>
      </c>
      <c r="AO178" s="195" t="str">
        <f t="shared" si="86"/>
        <v>-0.00369947420050012-0.00270196372500385i</v>
      </c>
      <c r="AP178" s="195">
        <f t="shared" si="93"/>
        <v>-46.78055486922559</v>
      </c>
      <c r="AQ178" s="195">
        <f t="shared" si="94"/>
        <v>-143.8569432549663</v>
      </c>
      <c r="AS178" s="195" t="str">
        <f t="shared" si="87"/>
        <v>0.654252055211212-0.418500571591296i</v>
      </c>
      <c r="AT178" s="195" t="str">
        <f t="shared" si="88"/>
        <v>-0.00380504357288862-0.00272023474299119i</v>
      </c>
      <c r="AU178" s="195">
        <f t="shared" si="95"/>
        <v>-46.599917140550893</v>
      </c>
      <c r="AV178" s="195">
        <f t="shared" si="96"/>
        <v>-144.4389329245744</v>
      </c>
    </row>
    <row r="179" spans="6:48" x14ac:dyDescent="0.2">
      <c r="F179" s="195">
        <v>177</v>
      </c>
      <c r="G179" s="210">
        <f t="shared" si="65"/>
        <v>118.00035069896384</v>
      </c>
      <c r="H179" s="210">
        <f t="shared" si="66"/>
        <v>108.06884294197381</v>
      </c>
      <c r="I179" s="196">
        <f t="shared" si="67"/>
        <v>0</v>
      </c>
      <c r="J179" s="195">
        <f t="shared" si="89"/>
        <v>0</v>
      </c>
      <c r="K179" s="195">
        <f t="shared" si="90"/>
        <v>0</v>
      </c>
      <c r="L179" s="195">
        <f>10^('Small Signal'!F179/30)</f>
        <v>794328.23472428333</v>
      </c>
      <c r="M179" s="195" t="str">
        <f t="shared" si="68"/>
        <v>4990911.49349752i</v>
      </c>
      <c r="N179" s="195">
        <f>IF(D$32=1, IF(AND('Small Signal'!$B$62&gt;=1,FCCM=0),V179+0,S179+0), 0)</f>
        <v>-47.801338195574004</v>
      </c>
      <c r="O179" s="195">
        <f>IF(D$32=1, IF(AND('Small Signal'!$B$62&gt;=1,FCCM=0),W179,T179), 0)</f>
        <v>-144.81621606161809</v>
      </c>
      <c r="P179" s="195">
        <f>IF(AND('Small Signal'!$B$62&gt;=1,FCCM=0),AF179+0,AC179+0)</f>
        <v>-34.1204826475281</v>
      </c>
      <c r="Q179" s="195">
        <f>IF(AND('Small Signal'!$B$62&gt;=1,FCCM=0),AG179,AD179)</f>
        <v>-23.337720971376346</v>
      </c>
      <c r="R179" s="195" t="str">
        <f>IMDIV(IMSUM('Small Signal'!$B$2*'Small Signal'!$B$39*'Small Signal'!$B$63,IMPRODUCT(M179,'Small Signal'!$B$2*'Small Signal'!$B$39*'Small Signal'!$B$63*'Small Signal'!$B$14*'Small Signal'!$B$15)),IMSUM(IMPRODUCT('Small Signal'!$B$12*'Small Signal'!$B$14*('Small Signal'!$B$15+'Small Signal'!$B$39),IMPOWER(M179,2)),IMSUM(IMPRODUCT(M179,('Small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-0.00113882442782525-0.00293719109364817i</v>
      </c>
      <c r="S179" s="195">
        <f t="shared" si="91"/>
        <v>-47.801338195574004</v>
      </c>
      <c r="T179" s="195">
        <f t="shared" si="92"/>
        <v>-144.81621606161809</v>
      </c>
      <c r="U179" s="195" t="str">
        <f>IMDIV(IMSUM('Small Signal'!$B$75,IMPRODUCT(M179,'Small Signal'!$B$76)),IMSUM(IMPRODUCT('Small Signal'!$B$79,IMPOWER(M179,2)),IMSUM(IMPRODUCT(M179,'Small Signal'!$B$78),'Small Signal'!$B$77)))</f>
        <v>-0.000707177379710266-0.00153776224525142i</v>
      </c>
      <c r="V179" s="195">
        <f t="shared" si="69"/>
        <v>-55.429037865356335</v>
      </c>
      <c r="W179" s="195">
        <f t="shared" si="70"/>
        <v>-114.69648701367444</v>
      </c>
      <c r="X179" s="195" t="str">
        <f>IMPRODUCT(IMDIV(IMSUM(IMPRODUCT(M179,'Small Signal'!$B$58*'Small Signal'!$B$6*'Small Signal'!$B$51*'Small Signal'!$B$7*'Small Signal'!$B$8),'Small Signal'!$B$58*'Small Signal'!$B$6*'Small Signal'!$B$51),IMSUM(IMSUM(IMPRODUCT(M179,('Small Signal'!$B$5+'Small Signal'!$B$6)*('Small Signal'!$B$57*'Small Signal'!$B$58)+'Small Signal'!$B$5*'Small Signal'!$B$58*('Small Signal'!$B$8+'Small Signal'!$B$9)+'Small Signal'!$B$6*'Small Signal'!$B$58*('Small Signal'!$B$8+'Small Signal'!$B$9)+'Small Signal'!$B$7*'Small Signal'!$B$8*('Small Signal'!$B$5+'Small Signal'!$B$6)),'Small Signal'!$B$6+'Small Signal'!$B$5),IMPRODUCT(IMPOWER(M179,2),'Small Signal'!$B$57*'Small Signal'!$B$58*'Small Signal'!$B$8*'Small Signal'!$B$7*('Small Signal'!$B$5+'Small Signal'!$B$6)+('Small Signal'!$B$5+'Small Signal'!$B$6)*('Small Signal'!$B$9*'Small Signal'!$B$8*'Small Signal'!$B$58*'Small Signal'!$B$7)))),-1)</f>
        <v>-0.774327549542348+2.14930415304549i</v>
      </c>
      <c r="Y179" s="195">
        <f t="shared" si="71"/>
        <v>13.680855548045914</v>
      </c>
      <c r="Z179" s="195">
        <f t="shared" si="72"/>
        <v>121.47849509024178</v>
      </c>
      <c r="AA179" s="195" t="str">
        <f t="shared" si="73"/>
        <v>2.07100033177917+0.427601224585024i</v>
      </c>
      <c r="AB179" s="195" t="str">
        <f t="shared" si="74"/>
        <v>0.0180678479376916-0.00779534994970525i</v>
      </c>
      <c r="AC179" s="192">
        <f t="shared" si="75"/>
        <v>-34.1204826475281</v>
      </c>
      <c r="AD179" s="195">
        <f t="shared" si="76"/>
        <v>-23.337720971376346</v>
      </c>
      <c r="AE179" s="195" t="str">
        <f t="shared" si="77"/>
        <v>0.00385270570763826-0.000329207608006831i</v>
      </c>
      <c r="AF179" s="192">
        <f t="shared" si="78"/>
        <v>-48.253088759647682</v>
      </c>
      <c r="AG179" s="195">
        <f t="shared" si="79"/>
        <v>-4.8839701184671265</v>
      </c>
      <c r="AI179" s="195" t="str">
        <f t="shared" si="80"/>
        <v>0.002-0.0010018210113552i</v>
      </c>
      <c r="AJ179" s="195">
        <f t="shared" si="81"/>
        <v>0.22500000000000001</v>
      </c>
      <c r="AK179" s="195" t="str">
        <f t="shared" si="82"/>
        <v>0.0375-2.00364202271041i</v>
      </c>
      <c r="AL179" s="195" t="str">
        <f t="shared" si="83"/>
        <v>0.00198474317913406-0.000985673131679563i</v>
      </c>
      <c r="AM179" s="195" t="str">
        <f t="shared" si="84"/>
        <v>0.618336173203491-0.416217457346176i</v>
      </c>
      <c r="AN179" s="195" t="str">
        <f t="shared" si="85"/>
        <v>0.006+6.87523522063434i</v>
      </c>
      <c r="AO179" s="195" t="str">
        <f t="shared" si="86"/>
        <v>-0.00332903871060763-0.00234696770856395i</v>
      </c>
      <c r="AP179" s="195">
        <f t="shared" si="93"/>
        <v>-47.801338195574004</v>
      </c>
      <c r="AQ179" s="195">
        <f t="shared" si="94"/>
        <v>-144.81621606161809</v>
      </c>
      <c r="AS179" s="195" t="str">
        <f t="shared" si="87"/>
        <v>0.624181988694047-0.431117374579089i</v>
      </c>
      <c r="AT179" s="195" t="str">
        <f t="shared" si="88"/>
        <v>-0.00342138645116115-0.00235681783234806i</v>
      </c>
      <c r="AU179" s="195">
        <f t="shared" si="95"/>
        <v>-47.62947243216226</v>
      </c>
      <c r="AV179" s="195">
        <f t="shared" si="96"/>
        <v>-145.43903442335866</v>
      </c>
    </row>
    <row r="180" spans="6:48" x14ac:dyDescent="0.2">
      <c r="F180" s="195">
        <v>178</v>
      </c>
      <c r="G180" s="210">
        <f t="shared" si="65"/>
        <v>115.75914545227107</v>
      </c>
      <c r="H180" s="210">
        <f t="shared" si="66"/>
        <v>106.48830663600631</v>
      </c>
      <c r="I180" s="196">
        <f t="shared" si="67"/>
        <v>0</v>
      </c>
      <c r="J180" s="195">
        <f t="shared" si="89"/>
        <v>0</v>
      </c>
      <c r="K180" s="195">
        <f t="shared" si="90"/>
        <v>0</v>
      </c>
      <c r="L180" s="195">
        <f>10^('Small Signal'!F180/30)</f>
        <v>857695.89859089628</v>
      </c>
      <c r="M180" s="195" t="str">
        <f t="shared" si="68"/>
        <v>5389062.26805451i</v>
      </c>
      <c r="N180" s="195">
        <f>IF(D$32=1, IF(AND('Small Signal'!$B$62&gt;=1,FCCM=0),V180+0,S180+0), 0)</f>
        <v>-48.831271977913921</v>
      </c>
      <c r="O180" s="195">
        <f>IF(D$32=1, IF(AND('Small Signal'!$B$62&gt;=1,FCCM=0),W180,T180), 0)</f>
        <v>-145.85482201112777</v>
      </c>
      <c r="P180" s="195">
        <f>IF(AND('Small Signal'!$B$62&gt;=1,FCCM=0),AF180+0,AC180+0)</f>
        <v>-35.675014683274583</v>
      </c>
      <c r="Q180" s="195">
        <f>IF(AND('Small Signal'!$B$62&gt;=1,FCCM=0),AG180,AD180)</f>
        <v>-26.469045323675065</v>
      </c>
      <c r="R180" s="195" t="str">
        <f>IMDIV(IMSUM('Small Signal'!$B$2*'Small Signal'!$B$39*'Small Signal'!$B$63,IMPRODUCT(M180,'Small Signal'!$B$2*'Small Signal'!$B$39*'Small Signal'!$B$63*'Small Signal'!$B$14*'Small Signal'!$B$15)),IMSUM(IMPRODUCT('Small Signal'!$B$12*'Small Signal'!$B$14*('Small Signal'!$B$15+'Small Signal'!$B$39),IMPOWER(M180,2)),IMSUM(IMPRODUCT(M180,('Small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-0.000977947404313607-0.00270585794954869i</v>
      </c>
      <c r="S180" s="195">
        <f t="shared" si="91"/>
        <v>-48.831271977913921</v>
      </c>
      <c r="T180" s="195">
        <f t="shared" si="92"/>
        <v>-145.85482201112777</v>
      </c>
      <c r="U180" s="195" t="str">
        <f>IMDIV(IMSUM('Small Signal'!$B$75,IMPRODUCT(M180,'Small Signal'!$B$76)),IMSUM(IMPRODUCT('Small Signal'!$B$79,IMPOWER(M180,2)),IMSUM(IMPRODUCT(M180,'Small Signal'!$B$78),'Small Signal'!$B$77)))</f>
        <v>-0.000606619247963634-0.00142099419398991i</v>
      </c>
      <c r="V180" s="195">
        <f t="shared" si="69"/>
        <v>-56.221091181870698</v>
      </c>
      <c r="W180" s="195">
        <f t="shared" si="70"/>
        <v>-113.11752775199042</v>
      </c>
      <c r="X180" s="195" t="str">
        <f>IMPRODUCT(IMDIV(IMSUM(IMPRODUCT(M180,'Small Signal'!$B$58*'Small Signal'!$B$6*'Small Signal'!$B$51*'Small Signal'!$B$7*'Small Signal'!$B$8),'Small Signal'!$B$58*'Small Signal'!$B$6*'Small Signal'!$B$51),IMSUM(IMSUM(IMPRODUCT(M180,('Small Signal'!$B$5+'Small Signal'!$B$6)*('Small Signal'!$B$57*'Small Signal'!$B$58)+'Small Signal'!$B$5*'Small Signal'!$B$58*('Small Signal'!$B$8+'Small Signal'!$B$9)+'Small Signal'!$B$6*'Small Signal'!$B$58*('Small Signal'!$B$8+'Small Signal'!$B$9)+'Small Signal'!$B$7*'Small Signal'!$B$8*('Small Signal'!$B$5+'Small Signal'!$B$6)),'Small Signal'!$B$6+'Small Signal'!$B$5),IMPRODUCT(IMPOWER(M180,2),'Small Signal'!$B$57*'Small Signal'!$B$58*'Small Signal'!$B$8*'Small Signal'!$B$7*('Small Signal'!$B$5+'Small Signal'!$B$6)+('Small Signal'!$B$5+'Small Signal'!$B$6)*('Small Signal'!$B$9*'Small Signal'!$B$8*'Small Signal'!$B$58*'Small Signal'!$B$7)))),-1)</f>
        <v>-0.675761337356294+2.02435897976263i</v>
      </c>
      <c r="Y180" s="195">
        <f t="shared" si="71"/>
        <v>13.156257294639349</v>
      </c>
      <c r="Z180" s="195">
        <f t="shared" si="72"/>
        <v>119.3857766874527</v>
      </c>
      <c r="AA180" s="195" t="str">
        <f t="shared" si="73"/>
        <v>2.09237267779866+0.403912069474104i</v>
      </c>
      <c r="AB180" s="195" t="str">
        <f t="shared" si="74"/>
        <v>0.0147284604719558-0.00733340693484935i</v>
      </c>
      <c r="AC180" s="192">
        <f t="shared" si="75"/>
        <v>-35.675014683274583</v>
      </c>
      <c r="AD180" s="195">
        <f t="shared" si="76"/>
        <v>-26.469045323675065</v>
      </c>
      <c r="AE180" s="195" t="str">
        <f t="shared" si="77"/>
        <v>0.00328653219106401-0.000267762185005885i</v>
      </c>
      <c r="AF180" s="192">
        <f t="shared" si="78"/>
        <v>-49.636509941930427</v>
      </c>
      <c r="AG180" s="195">
        <f t="shared" si="79"/>
        <v>-4.6577462113881207</v>
      </c>
      <c r="AI180" s="195" t="str">
        <f t="shared" si="80"/>
        <v>0.002-0.000927805200848986i</v>
      </c>
      <c r="AJ180" s="195">
        <f t="shared" si="81"/>
        <v>0.22500000000000001</v>
      </c>
      <c r="AK180" s="195" t="str">
        <f t="shared" si="82"/>
        <v>0.0375-1.85561040169797i</v>
      </c>
      <c r="AL180" s="195" t="str">
        <f t="shared" si="83"/>
        <v>0.00198411938926049-0.000913147983518733i</v>
      </c>
      <c r="AM180" s="195" t="str">
        <f t="shared" si="84"/>
        <v>0.587920373728932-0.427314354199836i</v>
      </c>
      <c r="AN180" s="195" t="str">
        <f t="shared" si="85"/>
        <v>0.006+7.42370822640162i</v>
      </c>
      <c r="AO180" s="195" t="str">
        <f t="shared" si="86"/>
        <v>-0.00299410022852502-0.00203060316951444i</v>
      </c>
      <c r="AP180" s="195">
        <f t="shared" si="93"/>
        <v>-48.831271977913921</v>
      </c>
      <c r="AQ180" s="195">
        <f t="shared" si="94"/>
        <v>-145.85482201112777</v>
      </c>
      <c r="AS180" s="195" t="str">
        <f t="shared" si="87"/>
        <v>0.592435407235206-0.441833491755384i</v>
      </c>
      <c r="AT180" s="195" t="str">
        <f t="shared" si="88"/>
        <v>-0.00307421447165229-0.00203379859391495i</v>
      </c>
      <c r="AU180" s="195">
        <f t="shared" si="95"/>
        <v>-48.668722265231253</v>
      </c>
      <c r="AV180" s="195">
        <f t="shared" si="96"/>
        <v>-146.51269708041571</v>
      </c>
    </row>
    <row r="181" spans="6:48" x14ac:dyDescent="0.2">
      <c r="F181" s="195">
        <v>179</v>
      </c>
      <c r="G181" s="210">
        <f t="shared" si="65"/>
        <v>113.6370127094462</v>
      </c>
      <c r="H181" s="210">
        <f t="shared" si="66"/>
        <v>104.99205380057353</v>
      </c>
      <c r="I181" s="196">
        <f t="shared" si="67"/>
        <v>0</v>
      </c>
      <c r="J181" s="195">
        <f t="shared" si="89"/>
        <v>0</v>
      </c>
      <c r="K181" s="195">
        <f t="shared" si="90"/>
        <v>0</v>
      </c>
      <c r="L181" s="195">
        <f>10^('Small Signal'!F181/30)</f>
        <v>926118.72812879446</v>
      </c>
      <c r="M181" s="195" t="str">
        <f t="shared" si="68"/>
        <v>5818975.58528269i</v>
      </c>
      <c r="N181" s="195">
        <f>IF(D$32=1, IF(AND('Small Signal'!$B$62&gt;=1,FCCM=0),V181+0,S181+0), 0)</f>
        <v>-49.872480056685021</v>
      </c>
      <c r="O181" s="195">
        <f>IF(D$32=1, IF(AND('Small Signal'!$B$62&gt;=1,FCCM=0),W181,T181), 0)</f>
        <v>-146.96727319115473</v>
      </c>
      <c r="P181" s="195">
        <f>IF(AND('Small Signal'!$B$62&gt;=1,FCCM=0),AF181+0,AC181+0)</f>
        <v>-37.258671036956912</v>
      </c>
      <c r="Q181" s="195">
        <f>IF(AND('Small Signal'!$B$62&gt;=1,FCCM=0),AG181,AD181)</f>
        <v>-29.563381791495939</v>
      </c>
      <c r="R181" s="195" t="str">
        <f>IMDIV(IMSUM('Small Signal'!$B$2*'Small Signal'!$B$39*'Small Signal'!$B$63,IMPRODUCT(M181,'Small Signal'!$B$2*'Small Signal'!$B$39*'Small Signal'!$B$63*'Small Signal'!$B$14*'Small Signal'!$B$15)),IMSUM(IMPRODUCT('Small Signal'!$B$12*'Small Signal'!$B$14*('Small Signal'!$B$15+'Small Signal'!$B$39),IMPOWER(M181,2)),IMSUM(IMPRODUCT(M181,('Small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-0.00083965307001964-0.00249453958501767i</v>
      </c>
      <c r="S181" s="195">
        <f t="shared" si="91"/>
        <v>-49.872480056685021</v>
      </c>
      <c r="T181" s="195">
        <f t="shared" si="92"/>
        <v>-146.96727319115473</v>
      </c>
      <c r="U181" s="195" t="str">
        <f>IMDIV(IMSUM('Small Signal'!$B$75,IMPRODUCT(M181,'Small Signal'!$B$76)),IMSUM(IMPRODUCT('Small Signal'!$B$79,IMPOWER(M181,2)),IMSUM(IMPRODUCT(M181,'Small Signal'!$B$78),'Small Signal'!$B$77)))</f>
        <v>-0.000520350838671753-0.00131350184921141i</v>
      </c>
      <c r="V181" s="195">
        <f t="shared" si="69"/>
        <v>-56.998281264595761</v>
      </c>
      <c r="W181" s="195">
        <f t="shared" si="70"/>
        <v>-111.61126166075425</v>
      </c>
      <c r="X181" s="195" t="str">
        <f>IMPRODUCT(IMDIV(IMSUM(IMPRODUCT(M181,'Small Signal'!$B$58*'Small Signal'!$B$6*'Small Signal'!$B$51*'Small Signal'!$B$7*'Small Signal'!$B$8),'Small Signal'!$B$58*'Small Signal'!$B$6*'Small Signal'!$B$51),IMSUM(IMSUM(IMPRODUCT(M181,('Small Signal'!$B$5+'Small Signal'!$B$6)*('Small Signal'!$B$57*'Small Signal'!$B$58)+'Small Signal'!$B$5*'Small Signal'!$B$58*('Small Signal'!$B$8+'Small Signal'!$B$9)+'Small Signal'!$B$6*'Small Signal'!$B$58*('Small Signal'!$B$8+'Small Signal'!$B$9)+'Small Signal'!$B$7*'Small Signal'!$B$8*('Small Signal'!$B$5+'Small Signal'!$B$6)),'Small Signal'!$B$6+'Small Signal'!$B$5),IMPRODUCT(IMPOWER(M181,2),'Small Signal'!$B$57*'Small Signal'!$B$58*'Small Signal'!$B$8*'Small Signal'!$B$7*('Small Signal'!$B$5+'Small Signal'!$B$6)+('Small Signal'!$B$5+'Small Signal'!$B$6)*('Small Signal'!$B$9*'Small Signal'!$B$8*'Small Signal'!$B$58*'Small Signal'!$B$7)))),-1)</f>
        <v>-0.588430927962397+1.9025708139044i</v>
      </c>
      <c r="Y181" s="195">
        <f t="shared" si="71"/>
        <v>12.613809019728141</v>
      </c>
      <c r="Z181" s="195">
        <f t="shared" si="72"/>
        <v>117.40389139965883</v>
      </c>
      <c r="AA181" s="195" t="str">
        <f t="shared" si="73"/>
        <v>2.11139503698319+0.380584521436271i</v>
      </c>
      <c r="AB181" s="195" t="str">
        <f t="shared" si="74"/>
        <v>0.0119258971962092-0.00676477454088838i</v>
      </c>
      <c r="AC181" s="192">
        <f t="shared" si="75"/>
        <v>-37.258671036956912</v>
      </c>
      <c r="AD181" s="195">
        <f t="shared" si="76"/>
        <v>-29.563381791495939</v>
      </c>
      <c r="AE181" s="195" t="str">
        <f t="shared" si="77"/>
        <v>0.00280522080918472-0.00021709920663576i</v>
      </c>
      <c r="AF181" s="192">
        <f t="shared" si="78"/>
        <v>-51.014724973326551</v>
      </c>
      <c r="AG181" s="195">
        <f t="shared" si="79"/>
        <v>-4.4253640807475518</v>
      </c>
      <c r="AI181" s="195" t="str">
        <f t="shared" si="80"/>
        <v>0.002-0.000859257772561541i</v>
      </c>
      <c r="AJ181" s="195">
        <f t="shared" si="81"/>
        <v>0.22500000000000001</v>
      </c>
      <c r="AK181" s="195" t="str">
        <f t="shared" si="82"/>
        <v>0.0375-1.71851554512308i</v>
      </c>
      <c r="AL181" s="195" t="str">
        <f t="shared" si="83"/>
        <v>0.00198358243111678-0.000846004065061363i</v>
      </c>
      <c r="AM181" s="195" t="str">
        <f t="shared" si="84"/>
        <v>0.556031398333657-0.436376767524879i</v>
      </c>
      <c r="AN181" s="195" t="str">
        <f t="shared" si="85"/>
        <v>0.006+8.01593575523636i</v>
      </c>
      <c r="AO181" s="195" t="str">
        <f t="shared" si="86"/>
        <v>-0.00269033402016716-0.00174930891535221i</v>
      </c>
      <c r="AP181" s="195">
        <f t="shared" si="93"/>
        <v>-49.872480056685021</v>
      </c>
      <c r="AQ181" s="195">
        <f t="shared" si="94"/>
        <v>-146.96727319115473</v>
      </c>
      <c r="AS181" s="195" t="str">
        <f t="shared" si="87"/>
        <v>0.559270822553886-0.450373804667904i</v>
      </c>
      <c r="AT181" s="195" t="str">
        <f t="shared" si="88"/>
        <v>-0.00275922561729628-0.00174740866837115i</v>
      </c>
      <c r="AU181" s="195">
        <f t="shared" si="95"/>
        <v>-49.719673516938059</v>
      </c>
      <c r="AV181" s="195">
        <f t="shared" si="96"/>
        <v>-147.65405175435023</v>
      </c>
    </row>
    <row r="182" spans="6:48" x14ac:dyDescent="0.2">
      <c r="F182" s="195">
        <v>180</v>
      </c>
      <c r="G182" s="210">
        <f t="shared" si="65"/>
        <v>111.63333193536523</v>
      </c>
      <c r="H182" s="210">
        <f t="shared" si="66"/>
        <v>103.5794530816891</v>
      </c>
      <c r="I182" s="196">
        <f t="shared" si="67"/>
        <v>0</v>
      </c>
      <c r="J182" s="195">
        <f t="shared" si="89"/>
        <v>0</v>
      </c>
      <c r="K182" s="195">
        <f t="shared" si="90"/>
        <v>0</v>
      </c>
      <c r="L182" s="195">
        <f>10^('Small Signal'!F182/30)</f>
        <v>1000000</v>
      </c>
      <c r="M182" s="195" t="str">
        <f t="shared" si="68"/>
        <v>6283185.30717959i</v>
      </c>
      <c r="N182" s="195">
        <f>IF(D$32=1, IF(AND('Small Signal'!$B$62&gt;=1,FCCM=0),V182+0,S182+0), 0)</f>
        <v>-50.926834051343441</v>
      </c>
      <c r="O182" s="195">
        <f>IF(D$32=1, IF(AND('Small Signal'!$B$62&gt;=1,FCCM=0),W182,T182), 0)</f>
        <v>-148.14573784532865</v>
      </c>
      <c r="P182" s="195">
        <f>IF(AND('Small Signal'!$B$62&gt;=1,FCCM=0),AF182+0,AC182+0)</f>
        <v>-38.871349467206933</v>
      </c>
      <c r="Q182" s="195">
        <f>IF(AND('Small Signal'!$B$62&gt;=1,FCCM=0),AG182,AD182)</f>
        <v>-32.613297347524743</v>
      </c>
      <c r="R182" s="195" t="str">
        <f>IMDIV(IMSUM('Small Signal'!$B$2*'Small Signal'!$B$39*'Small Signal'!$B$63,IMPRODUCT(M182,'Small Signal'!$B$2*'Small Signal'!$B$39*'Small Signal'!$B$63*'Small Signal'!$B$14*'Small Signal'!$B$15)),IMSUM(IMPRODUCT('Small Signal'!$B$12*'Small Signal'!$B$14*('Small Signal'!$B$15+'Small Signal'!$B$39),IMPOWER(M182,2)),IMSUM(IMPRODUCT(M182,('Small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-0.000720809310899583-0.00230116346632428i</v>
      </c>
      <c r="S182" s="195">
        <f t="shared" si="91"/>
        <v>-50.926834051343441</v>
      </c>
      <c r="T182" s="195">
        <f t="shared" si="92"/>
        <v>-148.14573784532865</v>
      </c>
      <c r="U182" s="195" t="str">
        <f>IMDIV(IMSUM('Small Signal'!$B$75,IMPRODUCT(M182,'Small Signal'!$B$76)),IMSUM(IMPRODUCT('Small Signal'!$B$79,IMPOWER(M182,2)),IMSUM(IMPRODUCT(M182,'Small Signal'!$B$78),'Small Signal'!$B$77)))</f>
        <v>-0.000446343979530342-0.00121446661456963i</v>
      </c>
      <c r="V182" s="195">
        <f t="shared" si="69"/>
        <v>-57.762050864973425</v>
      </c>
      <c r="W182" s="195">
        <f t="shared" si="70"/>
        <v>-110.17952302723413</v>
      </c>
      <c r="X182" s="195" t="str">
        <f>IMPRODUCT(IMDIV(IMSUM(IMPRODUCT(M182,'Small Signal'!$B$58*'Small Signal'!$B$6*'Small Signal'!$B$51*'Small Signal'!$B$7*'Small Signal'!$B$8),'Small Signal'!$B$58*'Small Signal'!$B$6*'Small Signal'!$B$51),IMSUM(IMSUM(IMPRODUCT(M182,('Small Signal'!$B$5+'Small Signal'!$B$6)*('Small Signal'!$B$57*'Small Signal'!$B$58)+'Small Signal'!$B$5*'Small Signal'!$B$58*('Small Signal'!$B$8+'Small Signal'!$B$9)+'Small Signal'!$B$6*'Small Signal'!$B$58*('Small Signal'!$B$8+'Small Signal'!$B$9)+'Small Signal'!$B$7*'Small Signal'!$B$8*('Small Signal'!$B$5+'Small Signal'!$B$6)),'Small Signal'!$B$6+'Small Signal'!$B$5),IMPRODUCT(IMPOWER(M182,2),'Small Signal'!$B$57*'Small Signal'!$B$58*'Small Signal'!$B$8*'Small Signal'!$B$7*('Small Signal'!$B$5+'Small Signal'!$B$6)+('Small Signal'!$B$5+'Small Signal'!$B$6)*('Small Signal'!$B$9*'Small Signal'!$B$8*'Small Signal'!$B$58*'Small Signal'!$B$7)))),-1)</f>
        <v>-0.511379279305188+1.78470105894428i</v>
      </c>
      <c r="Y182" s="195">
        <f t="shared" si="71"/>
        <v>12.055484584136501</v>
      </c>
      <c r="Z182" s="195">
        <f t="shared" si="72"/>
        <v>115.5324404978039</v>
      </c>
      <c r="AA182" s="195" t="str">
        <f t="shared" si="73"/>
        <v>2.12824623472571+0.357810621031695i</v>
      </c>
      <c r="AB182" s="195" t="str">
        <f t="shared" si="74"/>
        <v>0.00959209389223851-0.00613753707523807i</v>
      </c>
      <c r="AC182" s="192">
        <f t="shared" si="75"/>
        <v>-38.871349467206933</v>
      </c>
      <c r="AD182" s="195">
        <f t="shared" si="76"/>
        <v>-32.613297347524743</v>
      </c>
      <c r="AE182" s="195" t="str">
        <f t="shared" si="77"/>
        <v>0.00239571091564933-0.000175537510822377i</v>
      </c>
      <c r="AF182" s="192">
        <f t="shared" si="78"/>
        <v>-52.38805806184665</v>
      </c>
      <c r="AG182" s="195">
        <f t="shared" si="79"/>
        <v>-4.190663179296104</v>
      </c>
      <c r="AI182" s="195" t="str">
        <f t="shared" si="80"/>
        <v>0.002-0.000795774715459475i</v>
      </c>
      <c r="AJ182" s="195">
        <f t="shared" si="81"/>
        <v>0.22500000000000001</v>
      </c>
      <c r="AK182" s="195" t="str">
        <f t="shared" si="82"/>
        <v>0.0375-1.59154943091895i</v>
      </c>
      <c r="AL182" s="195" t="str">
        <f t="shared" si="83"/>
        <v>0.00198311962864354-0.000783845774021196i</v>
      </c>
      <c r="AM182" s="195" t="str">
        <f t="shared" si="84"/>
        <v>0.522959668012541-0.443163347497599i</v>
      </c>
      <c r="AN182" s="195" t="str">
        <f t="shared" si="85"/>
        <v>0.006+8.65540833131882i</v>
      </c>
      <c r="AO182" s="195" t="str">
        <f t="shared" si="86"/>
        <v>-0.0024141658723564-0.00150001340794585i</v>
      </c>
      <c r="AP182" s="195">
        <f t="shared" si="93"/>
        <v>-50.926834051343441</v>
      </c>
      <c r="AQ182" s="195">
        <f t="shared" si="94"/>
        <v>-148.14573784532865</v>
      </c>
      <c r="AS182" s="195" t="str">
        <f t="shared" si="87"/>
        <v>0.525004814747751-0.456507145287062i</v>
      </c>
      <c r="AT182" s="195" t="str">
        <f t="shared" si="88"/>
        <v>-0.00247286206350856-0.00149437531089061i</v>
      </c>
      <c r="AU182" s="195">
        <f t="shared" si="95"/>
        <v>-50.78406928421127</v>
      </c>
      <c r="AV182" s="195">
        <f t="shared" si="96"/>
        <v>-148.85501098166722</v>
      </c>
    </row>
    <row r="183" spans="6:48" x14ac:dyDescent="0.2">
      <c r="F183" s="195">
        <v>181</v>
      </c>
      <c r="G183" s="210">
        <f t="shared" si="65"/>
        <v>109.746237779811</v>
      </c>
      <c r="H183" s="210">
        <f t="shared" si="66"/>
        <v>102.2490708412501</v>
      </c>
      <c r="I183" s="196">
        <f t="shared" si="67"/>
        <v>0</v>
      </c>
      <c r="J183" s="195">
        <f t="shared" si="89"/>
        <v>0</v>
      </c>
      <c r="K183" s="195">
        <f t="shared" si="90"/>
        <v>0</v>
      </c>
      <c r="L183" s="195">
        <f>10^('Small Signal'!F183/30)</f>
        <v>1079775.1623277115</v>
      </c>
      <c r="M183" s="195" t="str">
        <f t="shared" si="68"/>
        <v>6784427.43499493i</v>
      </c>
      <c r="N183" s="195">
        <f>IF(D$32=1, IF(AND('Small Signal'!$B$62&gt;=1,FCCM=0),V183+0,S183+0), 0)</f>
        <v>-51.995896395079846</v>
      </c>
      <c r="O183" s="195">
        <f>IF(D$32=1, IF(AND('Small Signal'!$B$62&gt;=1,FCCM=0),W183,T183), 0)</f>
        <v>-149.38049719966367</v>
      </c>
      <c r="P183" s="195">
        <f>IF(AND('Small Signal'!$B$62&gt;=1,FCCM=0),AF183+0,AC183+0)</f>
        <v>-40.51278987964529</v>
      </c>
      <c r="Q183" s="195">
        <f>IF(AND('Small Signal'!$B$62&gt;=1,FCCM=0),AG183,AD183)</f>
        <v>-35.610697199111364</v>
      </c>
      <c r="R183" s="195" t="str">
        <f>IMDIV(IMSUM('Small Signal'!$B$2*'Small Signal'!$B$39*'Small Signal'!$B$63,IMPRODUCT(M183,'Small Signal'!$B$2*'Small Signal'!$B$39*'Small Signal'!$B$63*'Small Signal'!$B$14*'Small Signal'!$B$15)),IMSUM(IMPRODUCT('Small Signal'!$B$12*'Small Signal'!$B$14*('Small Signal'!$B$15+'Small Signal'!$B$39),IMPOWER(M183,2)),IMSUM(IMPRODUCT(M183,('Small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-0.000618708423566891-0.0021239299463792i</v>
      </c>
      <c r="S183" s="195">
        <f t="shared" si="91"/>
        <v>-51.995896395079846</v>
      </c>
      <c r="T183" s="195">
        <f t="shared" si="92"/>
        <v>-149.38049719966367</v>
      </c>
      <c r="U183" s="195" t="str">
        <f>IMDIV(IMSUM('Small Signal'!$B$75,IMPRODUCT(M183,'Small Signal'!$B$76)),IMSUM(IMPRODUCT('Small Signal'!$B$79,IMPOWER(M183,2)),IMSUM(IMPRODUCT(M183,'Small Signal'!$B$78),'Small Signal'!$B$77)))</f>
        <v>-0.000382857711827488-0.00112315774602499i</v>
      </c>
      <c r="V183" s="195">
        <f t="shared" si="69"/>
        <v>-58.513778054780786</v>
      </c>
      <c r="W183" s="195">
        <f t="shared" si="70"/>
        <v>-108.82302021167433</v>
      </c>
      <c r="X183" s="195" t="str">
        <f>IMPRODUCT(IMDIV(IMSUM(IMPRODUCT(M183,'Small Signal'!$B$58*'Small Signal'!$B$6*'Small Signal'!$B$51*'Small Signal'!$B$7*'Small Signal'!$B$8),'Small Signal'!$B$58*'Small Signal'!$B$6*'Small Signal'!$B$51),IMSUM(IMSUM(IMPRODUCT(M183,('Small Signal'!$B$5+'Small Signal'!$B$6)*('Small Signal'!$B$57*'Small Signal'!$B$58)+'Small Signal'!$B$5*'Small Signal'!$B$58*('Small Signal'!$B$8+'Small Signal'!$B$9)+'Small Signal'!$B$6*'Small Signal'!$B$58*('Small Signal'!$B$8+'Small Signal'!$B$9)+'Small Signal'!$B$7*'Small Signal'!$B$8*('Small Signal'!$B$5+'Small Signal'!$B$6)),'Small Signal'!$B$6+'Small Signal'!$B$5),IMPRODUCT(IMPOWER(M183,2),'Small Signal'!$B$57*'Small Signal'!$B$58*'Small Signal'!$B$8*'Small Signal'!$B$7*('Small Signal'!$B$5+'Small Signal'!$B$6)+('Small Signal'!$B$5+'Small Signal'!$B$6)*('Small Signal'!$B$9*'Small Signal'!$B$8*'Small Signal'!$B$58*'Small Signal'!$B$7)))),-1)</f>
        <v>-0.443647681930777+1.67132067849942i</v>
      </c>
      <c r="Y183" s="195">
        <f t="shared" si="71"/>
        <v>11.483106515434562</v>
      </c>
      <c r="Z183" s="195">
        <f t="shared" si="72"/>
        <v>113.76980000055232</v>
      </c>
      <c r="AA183" s="195" t="str">
        <f t="shared" si="73"/>
        <v>2.14311190177989+0.335741284868255i</v>
      </c>
      <c r="AB183" s="195" t="str">
        <f t="shared" si="74"/>
        <v>0.00766384675605206-0.00548893990899712i</v>
      </c>
      <c r="AC183" s="192">
        <f t="shared" si="75"/>
        <v>-40.51278987964529</v>
      </c>
      <c r="AD183" s="195">
        <f t="shared" si="76"/>
        <v>-35.610697199111364</v>
      </c>
      <c r="AE183" s="195" t="str">
        <f t="shared" si="77"/>
        <v>0.00204701070250995-0.000141591680233669i</v>
      </c>
      <c r="AF183" s="192">
        <f t="shared" si="78"/>
        <v>-53.756868526926937</v>
      </c>
      <c r="AG183" s="195">
        <f t="shared" si="79"/>
        <v>-3.9568452094422009</v>
      </c>
      <c r="AI183" s="195" t="str">
        <f t="shared" si="80"/>
        <v>0.002-0.00073698186735838i</v>
      </c>
      <c r="AJ183" s="195">
        <f t="shared" si="81"/>
        <v>0.22500000000000001</v>
      </c>
      <c r="AK183" s="195" t="str">
        <f t="shared" si="82"/>
        <v>0.0375-1.47396373471676i</v>
      </c>
      <c r="AL183" s="195" t="str">
        <f t="shared" si="83"/>
        <v>0.00198272005649256-0.000726306859428466i</v>
      </c>
      <c r="AM183" s="195" t="str">
        <f t="shared" si="84"/>
        <v>0.489046057332021-0.447485258865215i</v>
      </c>
      <c r="AN183" s="195" t="str">
        <f t="shared" si="85"/>
        <v>0.006+9.3458949359624i</v>
      </c>
      <c r="AO183" s="195" t="str">
        <f t="shared" si="86"/>
        <v>-0.00216267235712856-0.00127999468381547i</v>
      </c>
      <c r="AP183" s="195">
        <f t="shared" si="93"/>
        <v>-51.995896395079846</v>
      </c>
      <c r="AQ183" s="195">
        <f t="shared" si="94"/>
        <v>-149.38049719966367</v>
      </c>
      <c r="AS183" s="195" t="str">
        <f t="shared" si="87"/>
        <v>0.490001782095602-0.460060859136401i</v>
      </c>
      <c r="AT183" s="195" t="str">
        <f t="shared" si="88"/>
        <v>-0.00221220616067505-0.00127177978359487i</v>
      </c>
      <c r="AU183" s="195">
        <f t="shared" si="95"/>
        <v>-51.863336342411117</v>
      </c>
      <c r="AV183" s="195">
        <f t="shared" si="96"/>
        <v>-150.10574567837284</v>
      </c>
    </row>
    <row r="184" spans="6:48" x14ac:dyDescent="0.2">
      <c r="F184" s="195">
        <v>182</v>
      </c>
      <c r="G184" s="210">
        <f t="shared" si="65"/>
        <v>107.97287220668193</v>
      </c>
      <c r="H184" s="210">
        <f t="shared" si="66"/>
        <v>100.99882526014559</v>
      </c>
      <c r="I184" s="196">
        <f t="shared" si="67"/>
        <v>0</v>
      </c>
      <c r="J184" s="195">
        <f t="shared" si="89"/>
        <v>0</v>
      </c>
      <c r="K184" s="195">
        <f t="shared" si="90"/>
        <v>0</v>
      </c>
      <c r="L184" s="195">
        <f>10^('Small Signal'!F184/30)</f>
        <v>1165914.4011798317</v>
      </c>
      <c r="M184" s="195" t="str">
        <f t="shared" si="68"/>
        <v>7325656.2349222i</v>
      </c>
      <c r="N184" s="195">
        <f>IF(D$32=1, IF(AND('Small Signal'!$B$62&gt;=1,FCCM=0),V184+0,S184+0), 0)</f>
        <v>-53.080881976768872</v>
      </c>
      <c r="O184" s="195">
        <f>IF(D$32=1, IF(AND('Small Signal'!$B$62&gt;=1,FCCM=0),W184,T184), 0)</f>
        <v>-150.66045854290257</v>
      </c>
      <c r="P184" s="195">
        <f>IF(AND('Small Signal'!$B$62&gt;=1,FCCM=0),AF184+0,AC184+0)</f>
        <v>-42.182542012699642</v>
      </c>
      <c r="Q184" s="195">
        <f>IF(AND('Small Signal'!$B$62&gt;=1,FCCM=0),AG184,AD184)</f>
        <v>-38.547084931226628</v>
      </c>
      <c r="R184" s="195" t="str">
        <f>IMDIV(IMSUM('Small Signal'!$B$2*'Small Signal'!$B$39*'Small Signal'!$B$63,IMPRODUCT(M184,'Small Signal'!$B$2*'Small Signal'!$B$39*'Small Signal'!$B$63*'Small Signal'!$B$14*'Small Signal'!$B$15)),IMSUM(IMPRODUCT('Small Signal'!$B$12*'Small Signal'!$B$14*('Small Signal'!$B$15+'Small Signal'!$B$39),IMPOWER(M184,2)),IMSUM(IMPRODUCT(M184,('Small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-0.00053101226268436-0.00196126821734594i</v>
      </c>
      <c r="S184" s="195">
        <f t="shared" si="91"/>
        <v>-53.080881976768872</v>
      </c>
      <c r="T184" s="195">
        <f t="shared" si="92"/>
        <v>-150.66045854290257</v>
      </c>
      <c r="U184" s="195" t="str">
        <f>IMDIV(IMSUM('Small Signal'!$B$75,IMPRODUCT(M184,'Small Signal'!$B$76)),IMSUM(IMPRODUCT('Small Signal'!$B$79,IMPOWER(M184,2)),IMSUM(IMPRODUCT(M184,'Small Signal'!$B$78),'Small Signal'!$B$77)))</f>
        <v>-0.000328397789429514-0.00103892024456395i</v>
      </c>
      <c r="V184" s="195">
        <f t="shared" si="69"/>
        <v>-59.254759720800891</v>
      </c>
      <c r="W184" s="195">
        <f t="shared" si="70"/>
        <v>-107.54149973410279</v>
      </c>
      <c r="X184" s="195" t="str">
        <f>IMPRODUCT(IMDIV(IMSUM(IMPRODUCT(M184,'Small Signal'!$B$58*'Small Signal'!$B$6*'Small Signal'!$B$51*'Small Signal'!$B$7*'Small Signal'!$B$8),'Small Signal'!$B$58*'Small Signal'!$B$6*'Small Signal'!$B$51),IMSUM(IMSUM(IMPRODUCT(M184,('Small Signal'!$B$5+'Small Signal'!$B$6)*('Small Signal'!$B$57*'Small Signal'!$B$58)+'Small Signal'!$B$5*'Small Signal'!$B$58*('Small Signal'!$B$8+'Small Signal'!$B$9)+'Small Signal'!$B$6*'Small Signal'!$B$58*('Small Signal'!$B$8+'Small Signal'!$B$9)+'Small Signal'!$B$7*'Small Signal'!$B$8*('Small Signal'!$B$5+'Small Signal'!$B$6)),'Small Signal'!$B$6+'Small Signal'!$B$5),IMPRODUCT(IMPOWER(M184,2),'Small Signal'!$B$57*'Small Signal'!$B$58*'Small Signal'!$B$8*'Small Signal'!$B$7*('Small Signal'!$B$5+'Small Signal'!$B$6)+('Small Signal'!$B$5+'Small Signal'!$B$6)*('Small Signal'!$B$9*'Small Signal'!$B$8*'Small Signal'!$B$58*'Small Signal'!$B$7)))),-1)</f>
        <v>-0.384302192838688+1.56283345803528i</v>
      </c>
      <c r="Y184" s="195">
        <f t="shared" si="71"/>
        <v>10.89833996406923</v>
      </c>
      <c r="Z184" s="195">
        <f t="shared" si="72"/>
        <v>112.11337361167594</v>
      </c>
      <c r="AA184" s="195" t="str">
        <f t="shared" si="73"/>
        <v>2.15617777558104+0.314490322033563i</v>
      </c>
      <c r="AB184" s="195" t="str">
        <f t="shared" si="74"/>
        <v>0.00608321464535518-0.00484697489223743i</v>
      </c>
      <c r="AC184" s="192">
        <f t="shared" si="75"/>
        <v>-42.182542012699642</v>
      </c>
      <c r="AD184" s="195">
        <f t="shared" si="76"/>
        <v>-38.547084931226628</v>
      </c>
      <c r="AE184" s="195" t="str">
        <f t="shared" si="77"/>
        <v>0.00174986330903588-0.000113971724694837i</v>
      </c>
      <c r="AF184" s="192">
        <f t="shared" si="78"/>
        <v>-55.121533045196252</v>
      </c>
      <c r="AG184" s="195">
        <f t="shared" si="79"/>
        <v>-3.726512991913161</v>
      </c>
      <c r="AI184" s="195" t="str">
        <f t="shared" si="80"/>
        <v>0.002-0.000682532709651929i</v>
      </c>
      <c r="AJ184" s="195">
        <f t="shared" si="81"/>
        <v>0.22500000000000001</v>
      </c>
      <c r="AK184" s="195" t="str">
        <f t="shared" si="82"/>
        <v>0.0375-1.36506541930386i</v>
      </c>
      <c r="AL184" s="195" t="str">
        <f t="shared" si="83"/>
        <v>0.0019823742822238-0.000673048268485205i</v>
      </c>
      <c r="AM184" s="195" t="str">
        <f t="shared" si="84"/>
        <v>0.454669062801549-0.449218578244163i</v>
      </c>
      <c r="AN184" s="195" t="str">
        <f t="shared" si="85"/>
        <v>0.006+10.0914652215765i</v>
      </c>
      <c r="AO184" s="195" t="str">
        <f t="shared" si="86"/>
        <v>-0.00193347497310334-0.00108677078526142i</v>
      </c>
      <c r="AP184" s="195">
        <f t="shared" si="93"/>
        <v>-53.080881976768872</v>
      </c>
      <c r="AQ184" s="195">
        <f t="shared" si="94"/>
        <v>-150.66045854290257</v>
      </c>
      <c r="AS184" s="195" t="str">
        <f t="shared" si="87"/>
        <v>0.454659444539441-0.460932336516936i</v>
      </c>
      <c r="AT184" s="195" t="str">
        <f t="shared" si="88"/>
        <v>-0.0019748708061828-0.00107694874714432i</v>
      </c>
      <c r="AU184" s="195">
        <f t="shared" si="95"/>
        <v>-52.958552075520572</v>
      </c>
      <c r="AV184" s="195">
        <f t="shared" si="96"/>
        <v>-151.39520911290668</v>
      </c>
    </row>
    <row r="185" spans="6:48" x14ac:dyDescent="0.2">
      <c r="F185" s="195">
        <v>183</v>
      </c>
      <c r="G185" s="210">
        <f t="shared" si="65"/>
        <v>106.30961155315791</v>
      </c>
      <c r="H185" s="210">
        <f t="shared" si="66"/>
        <v>99.826129024712927</v>
      </c>
      <c r="I185" s="196">
        <f t="shared" si="67"/>
        <v>0</v>
      </c>
      <c r="J185" s="195">
        <f t="shared" si="89"/>
        <v>0</v>
      </c>
      <c r="K185" s="195">
        <f t="shared" si="90"/>
        <v>0</v>
      </c>
      <c r="L185" s="195">
        <f>10^('Small Signal'!F185/30)</f>
        <v>1258925.4117941677</v>
      </c>
      <c r="M185" s="195" t="str">
        <f t="shared" si="68"/>
        <v>7910061.65022012i</v>
      </c>
      <c r="N185" s="195">
        <f>IF(D$32=1, IF(AND('Small Signal'!$B$62&gt;=1,FCCM=0),V185+0,S185+0), 0)</f>
        <v>-54.182639430827521</v>
      </c>
      <c r="O185" s="195">
        <f>IF(D$32=1, IF(AND('Small Signal'!$B$62&gt;=1,FCCM=0),W185,T185), 0)</f>
        <v>-151.97369094737266</v>
      </c>
      <c r="P185" s="195">
        <f>IF(AND('Small Signal'!$B$62&gt;=1,FCCM=0),AF185+0,AC185+0)</f>
        <v>-43.879946760805744</v>
      </c>
      <c r="Q185" s="195">
        <f>IF(AND('Small Signal'!$B$62&gt;=1,FCCM=0),AG185,AD185)</f>
        <v>-41.4138725227591</v>
      </c>
      <c r="R185" s="195" t="str">
        <f>IMDIV(IMSUM('Small Signal'!$B$2*'Small Signal'!$B$39*'Small Signal'!$B$63,IMPRODUCT(M185,'Small Signal'!$B$2*'Small Signal'!$B$39*'Small Signal'!$B$63*'Small Signal'!$B$14*'Small Signal'!$B$15)),IMSUM(IMPRODUCT('Small Signal'!$B$12*'Small Signal'!$B$14*('Small Signal'!$B$15+'Small Signal'!$B$39),IMPOWER(M185,2)),IMSUM(IMPRODUCT(M185,('Small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-0.000455703761213625-0.00181180019571115i</v>
      </c>
      <c r="S185" s="195">
        <f t="shared" si="91"/>
        <v>-54.182639430827521</v>
      </c>
      <c r="T185" s="195">
        <f t="shared" si="92"/>
        <v>-151.97369094737266</v>
      </c>
      <c r="U185" s="195" t="str">
        <f>IMDIV(IMSUM('Small Signal'!$B$75,IMPRODUCT(M185,'Small Signal'!$B$76)),IMSUM(IMPRODUCT('Small Signal'!$B$79,IMPOWER(M185,2)),IMSUM(IMPRODUCT(M185,'Small Signal'!$B$78),'Small Signal'!$B$77)))</f>
        <v>-0.000281681843390792-0.000961164794372665i</v>
      </c>
      <c r="V185" s="195">
        <f t="shared" si="69"/>
        <v>-59.986200858949026</v>
      </c>
      <c r="W185" s="195">
        <f t="shared" si="70"/>
        <v>-106.33390898527965</v>
      </c>
      <c r="X185" s="195" t="str">
        <f>IMPRODUCT(IMDIV(IMSUM(IMPRODUCT(M185,'Small Signal'!$B$58*'Small Signal'!$B$6*'Small Signal'!$B$51*'Small Signal'!$B$7*'Small Signal'!$B$8),'Small Signal'!$B$58*'Small Signal'!$B$6*'Small Signal'!$B$51),IMSUM(IMSUM(IMPRODUCT(M185,('Small Signal'!$B$5+'Small Signal'!$B$6)*('Small Signal'!$B$57*'Small Signal'!$B$58)+'Small Signal'!$B$5*'Small Signal'!$B$58*('Small Signal'!$B$8+'Small Signal'!$B$9)+'Small Signal'!$B$6*'Small Signal'!$B$58*('Small Signal'!$B$8+'Small Signal'!$B$9)+'Small Signal'!$B$7*'Small Signal'!$B$8*('Small Signal'!$B$5+'Small Signal'!$B$6)),'Small Signal'!$B$6+'Small Signal'!$B$5),IMPRODUCT(IMPOWER(M185,2),'Small Signal'!$B$57*'Small Signal'!$B$58*'Small Signal'!$B$8*'Small Signal'!$B$7*('Small Signal'!$B$5+'Small Signal'!$B$6)+('Small Signal'!$B$5+'Small Signal'!$B$6)*('Small Signal'!$B$9*'Small Signal'!$B$8*'Small Signal'!$B$58*'Small Signal'!$B$7)))),-1)</f>
        <v>-0.332452544064675+1.45950005678877i</v>
      </c>
      <c r="Y185" s="195">
        <f t="shared" si="71"/>
        <v>10.302692670021768</v>
      </c>
      <c r="Z185" s="195">
        <f t="shared" si="72"/>
        <v>110.55981842461354</v>
      </c>
      <c r="AA185" s="195" t="str">
        <f t="shared" si="73"/>
        <v>2.1676246335652+0.294138981119597i</v>
      </c>
      <c r="AB185" s="195" t="str">
        <f t="shared" si="74"/>
        <v>0.00479772675543433-0.00423183006036428i</v>
      </c>
      <c r="AC185" s="192">
        <f t="shared" si="75"/>
        <v>-43.879946760805744</v>
      </c>
      <c r="AD185" s="195">
        <f t="shared" si="76"/>
        <v>-41.4138725227591</v>
      </c>
      <c r="AE185" s="195" t="str">
        <f t="shared" si="77"/>
        <v>0.00149646591742237-0.0000915729852706336i</v>
      </c>
      <c r="AF185" s="192">
        <f t="shared" si="78"/>
        <v>-56.482431342348249</v>
      </c>
      <c r="AG185" s="195">
        <f t="shared" si="79"/>
        <v>-3.5017244727245846</v>
      </c>
      <c r="AI185" s="195" t="str">
        <f t="shared" si="80"/>
        <v>0.002-0.000632106324969145i</v>
      </c>
      <c r="AJ185" s="195">
        <f t="shared" si="81"/>
        <v>0.22500000000000001</v>
      </c>
      <c r="AK185" s="195" t="str">
        <f t="shared" si="82"/>
        <v>0.0375-1.26421264993829i</v>
      </c>
      <c r="AL185" s="195" t="str">
        <f t="shared" si="83"/>
        <v>0.00198207414375221-0.000623756152238472i</v>
      </c>
      <c r="AM185" s="195" t="str">
        <f t="shared" si="84"/>
        <v>0.420228494649606-0.448312796549904i</v>
      </c>
      <c r="AN185" s="195" t="str">
        <f t="shared" si="85"/>
        <v>0.006+10.8965134977522i</v>
      </c>
      <c r="AO185" s="195" t="str">
        <f t="shared" si="86"/>
        <v>-0.00172463368189959-0.000918020046191964i</v>
      </c>
      <c r="AP185" s="195">
        <f t="shared" si="93"/>
        <v>-54.182639430827521</v>
      </c>
      <c r="AQ185" s="195">
        <f t="shared" si="94"/>
        <v>-151.97369094737266</v>
      </c>
      <c r="AS185" s="195" t="str">
        <f t="shared" si="87"/>
        <v>0.419391218893061-0.459096124168519i</v>
      </c>
      <c r="AT185" s="195" t="str">
        <f t="shared" si="88"/>
        <v>-0.00175889055464663-0.000907377355748911i</v>
      </c>
      <c r="AU185" s="195">
        <f t="shared" si="95"/>
        <v>-54.070431411590299</v>
      </c>
      <c r="AV185" s="195">
        <f t="shared" si="96"/>
        <v>-152.71167294067769</v>
      </c>
    </row>
    <row r="186" spans="6:48" x14ac:dyDescent="0.2">
      <c r="F186" s="195">
        <v>184</v>
      </c>
      <c r="G186" s="210">
        <f t="shared" si="65"/>
        <v>104.75226574549144</v>
      </c>
      <c r="H186" s="210">
        <f t="shared" si="66"/>
        <v>98.72801731714577</v>
      </c>
      <c r="I186" s="196">
        <f t="shared" si="67"/>
        <v>0</v>
      </c>
      <c r="J186" s="195">
        <f t="shared" si="89"/>
        <v>0</v>
      </c>
      <c r="K186" s="195">
        <f t="shared" si="90"/>
        <v>0</v>
      </c>
      <c r="L186" s="195">
        <f>10^('Small Signal'!F186/30)</f>
        <v>1359356.3908785288</v>
      </c>
      <c r="M186" s="195" t="str">
        <f t="shared" si="68"/>
        <v>8541088.10238864i</v>
      </c>
      <c r="N186" s="195">
        <f>IF(D$32=1, IF(AND('Small Signal'!$B$62&gt;=1,FCCM=0),V186+0,S186+0), 0)</f>
        <v>-55.301651632792655</v>
      </c>
      <c r="O186" s="195">
        <f>IF(D$32=1, IF(AND('Small Signal'!$B$62&gt;=1,FCCM=0),W186,T186), 0)</f>
        <v>-153.30794987153314</v>
      </c>
      <c r="P186" s="195">
        <f>IF(AND('Small Signal'!$B$62&gt;=1,FCCM=0),AF186+0,AC186+0)</f>
        <v>-45.604132252510645</v>
      </c>
      <c r="Q186" s="195">
        <f>IF(AND('Small Signal'!$B$62&gt;=1,FCCM=0),AG186,AD186)</f>
        <v>-44.202708587745136</v>
      </c>
      <c r="R186" s="195" t="str">
        <f>IMDIV(IMSUM('Small Signal'!$B$2*'Small Signal'!$B$39*'Small Signal'!$B$63,IMPRODUCT(M186,'Small Signal'!$B$2*'Small Signal'!$B$39*'Small Signal'!$B$63*'Small Signal'!$B$14*'Small Signal'!$B$15)),IMSUM(IMPRODUCT('Small Signal'!$B$12*'Small Signal'!$B$14*('Small Signal'!$B$15+'Small Signal'!$B$39),IMPOWER(M186,2)),IMSUM(IMPRODUCT(M186,('Small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-0.000391044283626889-0.00167431086498229i</v>
      </c>
      <c r="S186" s="195">
        <f t="shared" si="91"/>
        <v>-55.301651632792655</v>
      </c>
      <c r="T186" s="195">
        <f t="shared" si="92"/>
        <v>-153.30794987153314</v>
      </c>
      <c r="U186" s="195" t="str">
        <f>IMDIV(IMSUM('Small Signal'!$B$75,IMPRODUCT(M186,'Small Signal'!$B$76)),IMSUM(IMPRODUCT('Small Signal'!$B$79,IMPOWER(M186,2)),IMSUM(IMPRODUCT(M186,'Small Signal'!$B$78),'Small Signal'!$B$77)))</f>
        <v>-0.000241609431754602-0.000889359359972873i</v>
      </c>
      <c r="V186" s="195">
        <f t="shared" si="69"/>
        <v>-60.709208823502223</v>
      </c>
      <c r="W186" s="195">
        <f t="shared" si="70"/>
        <v>-105.19855060822144</v>
      </c>
      <c r="X186" s="195" t="str">
        <f>IMPRODUCT(IMDIV(IMSUM(IMPRODUCT(M186,'Small Signal'!$B$58*'Small Signal'!$B$6*'Small Signal'!$B$51*'Small Signal'!$B$7*'Small Signal'!$B$8),'Small Signal'!$B$58*'Small Signal'!$B$6*'Small Signal'!$B$51),IMSUM(IMSUM(IMPRODUCT(M186,('Small Signal'!$B$5+'Small Signal'!$B$6)*('Small Signal'!$B$57*'Small Signal'!$B$58)+'Small Signal'!$B$5*'Small Signal'!$B$58*('Small Signal'!$B$8+'Small Signal'!$B$9)+'Small Signal'!$B$6*'Small Signal'!$B$58*('Small Signal'!$B$8+'Small Signal'!$B$9)+'Small Signal'!$B$7*'Small Signal'!$B$8*('Small Signal'!$B$5+'Small Signal'!$B$6)),'Small Signal'!$B$6+'Small Signal'!$B$5),IMPRODUCT(IMPOWER(M186,2),'Small Signal'!$B$57*'Small Signal'!$B$58*'Small Signal'!$B$8*'Small Signal'!$B$7*('Small Signal'!$B$5+'Small Signal'!$B$6)+('Small Signal'!$B$5+'Small Signal'!$B$6)*('Small Signal'!$B$9*'Small Signal'!$B$8*'Small Signal'!$B$58*'Small Signal'!$B$7)))),-1)</f>
        <v>-0.287264676672998+1.36146138995697i</v>
      </c>
      <c r="Y186" s="195">
        <f t="shared" si="71"/>
        <v>9.6975193802820154</v>
      </c>
      <c r="Z186" s="195">
        <f t="shared" si="72"/>
        <v>109.10524128378806</v>
      </c>
      <c r="AA186" s="195" t="str">
        <f t="shared" si="73"/>
        <v>2.17762467752167+0.274740636126312i</v>
      </c>
      <c r="AB186" s="195" t="str">
        <f t="shared" si="74"/>
        <v>0.00376043795576465-0.00365721202130532i</v>
      </c>
      <c r="AC186" s="192">
        <f t="shared" si="75"/>
        <v>-45.604132252510645</v>
      </c>
      <c r="AD186" s="195">
        <f t="shared" si="76"/>
        <v>-44.202708587745136</v>
      </c>
      <c r="AE186" s="195" t="str">
        <f t="shared" si="77"/>
        <v>0.00128023428569404-0.0000734603837946224i</v>
      </c>
      <c r="AF186" s="192">
        <f t="shared" si="78"/>
        <v>-57.839935211636202</v>
      </c>
      <c r="AG186" s="195">
        <f t="shared" si="79"/>
        <v>-3.2840549120221385</v>
      </c>
      <c r="AI186" s="195" t="str">
        <f t="shared" si="80"/>
        <v>0.002-0.000585405505722587i</v>
      </c>
      <c r="AJ186" s="195">
        <f t="shared" si="81"/>
        <v>0.22500000000000001</v>
      </c>
      <c r="AK186" s="195" t="str">
        <f t="shared" si="82"/>
        <v>0.0375-1.17081101144518i</v>
      </c>
      <c r="AL186" s="195" t="str">
        <f t="shared" si="83"/>
        <v>0.00198181255680421-0.000578140018531695i</v>
      </c>
      <c r="AM186" s="195" t="str">
        <f t="shared" si="84"/>
        <v>0.386127120776115-0.444794366342586i</v>
      </c>
      <c r="AN186" s="195" t="str">
        <f t="shared" si="85"/>
        <v>0.006+11.7657846308415i</v>
      </c>
      <c r="AO186" s="195" t="str">
        <f t="shared" si="86"/>
        <v>-0.00153454546328327-0.000771529201593705i</v>
      </c>
      <c r="AP186" s="195">
        <f t="shared" si="93"/>
        <v>-55.301651632792655</v>
      </c>
      <c r="AQ186" s="195">
        <f t="shared" si="94"/>
        <v>-153.30794987153314</v>
      </c>
      <c r="AS186" s="195" t="str">
        <f t="shared" si="87"/>
        <v>0.384607074234893-0.454605718807355i</v>
      </c>
      <c r="AT186" s="195" t="str">
        <f t="shared" si="88"/>
        <v>-0.00156261956289432-0.000760681167644028i</v>
      </c>
      <c r="AU186" s="195">
        <f t="shared" si="95"/>
        <v>-55.19933275611379</v>
      </c>
      <c r="AV186" s="195">
        <f t="shared" si="96"/>
        <v>-154.04324133104339</v>
      </c>
    </row>
    <row r="187" spans="6:48" x14ac:dyDescent="0.2">
      <c r="F187" s="195">
        <v>185</v>
      </c>
      <c r="G187" s="210">
        <f t="shared" si="65"/>
        <v>103.29624910761224</v>
      </c>
      <c r="H187" s="210">
        <f t="shared" si="66"/>
        <v>97.701259547489485</v>
      </c>
      <c r="I187" s="196">
        <f t="shared" si="67"/>
        <v>0</v>
      </c>
      <c r="J187" s="195">
        <f t="shared" si="89"/>
        <v>0</v>
      </c>
      <c r="K187" s="195">
        <f t="shared" si="90"/>
        <v>0</v>
      </c>
      <c r="L187" s="195">
        <f>10^('Small Signal'!F187/30)</f>
        <v>1467799.2676220734</v>
      </c>
      <c r="M187" s="195" t="str">
        <f t="shared" si="68"/>
        <v>9222454.79221197i</v>
      </c>
      <c r="N187" s="195">
        <f>IF(D$32=1, IF(AND('Small Signal'!$B$62&gt;=1,FCCM=0),V187+0,S187+0), 0)</f>
        <v>-56.438053535981361</v>
      </c>
      <c r="O187" s="195">
        <f>IF(D$32=1, IF(AND('Small Signal'!$B$62&gt;=1,FCCM=0),W187,T187), 0)</f>
        <v>-154.65115992732632</v>
      </c>
      <c r="P187" s="195">
        <f>IF(AND('Small Signal'!$B$62&gt;=1,FCCM=0),AF187+0,AC187+0)</f>
        <v>-47.354024159249086</v>
      </c>
      <c r="Q187" s="195">
        <f>IF(AND('Small Signal'!$B$62&gt;=1,FCCM=0),AG187,AD187)</f>
        <v>-46.905794073263849</v>
      </c>
      <c r="R187" s="195" t="str">
        <f>IMDIV(IMSUM('Small Signal'!$B$2*'Small Signal'!$B$39*'Small Signal'!$B$63,IMPRODUCT(M187,'Small Signal'!$B$2*'Small Signal'!$B$39*'Small Signal'!$B$63*'Small Signal'!$B$14*'Small Signal'!$B$15)),IMSUM(IMPRODUCT('Small Signal'!$B$12*'Small Signal'!$B$14*('Small Signal'!$B$15+'Small Signal'!$B$39),IMPOWER(M187,2)),IMSUM(IMPRODUCT(M187,('Small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-0.000335536256291763-0.00154772387010013i</v>
      </c>
      <c r="S187" s="195">
        <f t="shared" si="91"/>
        <v>-56.438053535981361</v>
      </c>
      <c r="T187" s="195">
        <f t="shared" si="92"/>
        <v>-154.65115992732632</v>
      </c>
      <c r="U187" s="195" t="str">
        <f>IMDIV(IMSUM('Small Signal'!$B$75,IMPRODUCT(M187,'Small Signal'!$B$76)),IMSUM(IMPRODUCT('Small Signal'!$B$79,IMPOWER(M187,2)),IMSUM(IMPRODUCT(M187,'Small Signal'!$B$78),'Small Signal'!$B$77)))</f>
        <v>-0.000207236298368486-0.000823022132362431i</v>
      </c>
      <c r="V187" s="195">
        <f t="shared" si="69"/>
        <v>-61.424791609072152</v>
      </c>
      <c r="W187" s="195">
        <f t="shared" si="70"/>
        <v>-104.13322391303866</v>
      </c>
      <c r="X187" s="195" t="str">
        <f>IMPRODUCT(IMDIV(IMSUM(IMPRODUCT(M187,'Small Signal'!$B$58*'Small Signal'!$B$6*'Small Signal'!$B$51*'Small Signal'!$B$7*'Small Signal'!$B$8),'Small Signal'!$B$58*'Small Signal'!$B$6*'Small Signal'!$B$51),IMSUM(IMSUM(IMPRODUCT(M187,('Small Signal'!$B$5+'Small Signal'!$B$6)*('Small Signal'!$B$57*'Small Signal'!$B$58)+'Small Signal'!$B$5*'Small Signal'!$B$58*('Small Signal'!$B$8+'Small Signal'!$B$9)+'Small Signal'!$B$6*'Small Signal'!$B$58*('Small Signal'!$B$8+'Small Signal'!$B$9)+'Small Signal'!$B$7*'Small Signal'!$B$8*('Small Signal'!$B$5+'Small Signal'!$B$6)),'Small Signal'!$B$6+'Small Signal'!$B$5),IMPRODUCT(IMPOWER(M187,2),'Small Signal'!$B$57*'Small Signal'!$B$58*'Small Signal'!$B$8*'Small Signal'!$B$7*('Small Signal'!$B$5+'Small Signal'!$B$6)+('Small Signal'!$B$5+'Small Signal'!$B$6)*('Small Signal'!$B$9*'Small Signal'!$B$8*'Small Signal'!$B$58*'Small Signal'!$B$7)))),-1)</f>
        <v>-0.247968104320489+1.26876038631956i</v>
      </c>
      <c r="Y187" s="195">
        <f t="shared" si="71"/>
        <v>9.084029376732266</v>
      </c>
      <c r="Z187" s="195">
        <f t="shared" si="72"/>
        <v>107.74536585406247</v>
      </c>
      <c r="AA187" s="195" t="str">
        <f t="shared" si="73"/>
        <v>2.18633914501764+0.256325332310914i</v>
      </c>
      <c r="AB187" s="195" t="str">
        <f t="shared" si="74"/>
        <v>0.00292985823205766-0.00313154947559141i</v>
      </c>
      <c r="AC187" s="192">
        <f t="shared" si="75"/>
        <v>-47.354024159249086</v>
      </c>
      <c r="AD187" s="195">
        <f t="shared" si="76"/>
        <v>-46.905794073263849</v>
      </c>
      <c r="AE187" s="195" t="str">
        <f t="shared" si="77"/>
        <v>0.00109560587065853-0.0000588499680017173i</v>
      </c>
      <c r="AF187" s="192">
        <f t="shared" si="78"/>
        <v>-59.194400537655071</v>
      </c>
      <c r="AG187" s="195">
        <f t="shared" si="79"/>
        <v>-3.0746617920771766</v>
      </c>
      <c r="AI187" s="195" t="str">
        <f t="shared" si="80"/>
        <v>0.002-0.000542155002399397i</v>
      </c>
      <c r="AJ187" s="195">
        <f t="shared" si="81"/>
        <v>0.22500000000000001</v>
      </c>
      <c r="AK187" s="195" t="str">
        <f t="shared" si="82"/>
        <v>0.0375-1.08431000479879i</v>
      </c>
      <c r="AL187" s="195" t="str">
        <f t="shared" si="83"/>
        <v>0.00198158334785317-0.000535931021495083i</v>
      </c>
      <c r="AM187" s="195" t="str">
        <f t="shared" si="84"/>
        <v>0.352752022177251-0.438764838140912i</v>
      </c>
      <c r="AN187" s="195" t="str">
        <f t="shared" si="85"/>
        <v>0.006+12.7044020096798i</v>
      </c>
      <c r="AO187" s="195" t="str">
        <f t="shared" si="86"/>
        <v>-0.00136185297361106-0.000645165783866275i</v>
      </c>
      <c r="AP187" s="195">
        <f t="shared" si="93"/>
        <v>-56.438053535981361</v>
      </c>
      <c r="AQ187" s="195">
        <f t="shared" si="94"/>
        <v>-154.65115992732632</v>
      </c>
      <c r="AS187" s="195" t="str">
        <f t="shared" si="87"/>
        <v>0.350694723607492-0.447589811032695i</v>
      </c>
      <c r="AT187" s="195" t="str">
        <f t="shared" si="88"/>
        <v>-0.00138464152527957-0.000634572434270001i</v>
      </c>
      <c r="AU187" s="195">
        <f t="shared" si="95"/>
        <v>-56.3452805287762</v>
      </c>
      <c r="AV187" s="195">
        <f t="shared" si="96"/>
        <v>-155.37831367766424</v>
      </c>
    </row>
    <row r="188" spans="6:48" x14ac:dyDescent="0.2">
      <c r="F188" s="195">
        <v>186</v>
      </c>
      <c r="G188" s="210">
        <f t="shared" si="65"/>
        <v>101.93672376412029</v>
      </c>
      <c r="H188" s="210">
        <f t="shared" si="66"/>
        <v>96.742454564112478</v>
      </c>
      <c r="I188" s="196">
        <f t="shared" si="67"/>
        <v>0</v>
      </c>
      <c r="J188" s="195">
        <f t="shared" si="89"/>
        <v>0</v>
      </c>
      <c r="K188" s="195">
        <f t="shared" si="90"/>
        <v>0</v>
      </c>
      <c r="L188" s="195">
        <f>10^('Small Signal'!F188/30)</f>
        <v>1584893.1924611153</v>
      </c>
      <c r="M188" s="195" t="str">
        <f t="shared" si="68"/>
        <v>9958177.62032063i</v>
      </c>
      <c r="N188" s="195">
        <f>IF(D$32=1, IF(AND('Small Signal'!$B$62&gt;=1,FCCM=0),V188+0,S188+0), 0)</f>
        <v>-57.591664306967765</v>
      </c>
      <c r="O188" s="195">
        <f>IF(D$32=1, IF(AND('Small Signal'!$B$62&gt;=1,FCCM=0),W188,T188), 0)</f>
        <v>-155.99183101849485</v>
      </c>
      <c r="P188" s="195">
        <f>IF(AND('Small Signal'!$B$62&gt;=1,FCCM=0),AF188+0,AC188+0)</f>
        <v>-49.128368295546267</v>
      </c>
      <c r="Q188" s="195">
        <f>IF(AND('Small Signal'!$B$62&gt;=1,FCCM=0),AG188,AD188)</f>
        <v>-49.516159109641748</v>
      </c>
      <c r="R188" s="195" t="str">
        <f>IMDIV(IMSUM('Small Signal'!$B$2*'Small Signal'!$B$39*'Small Signal'!$B$63,IMPRODUCT(M188,'Small Signal'!$B$2*'Small Signal'!$B$39*'Small Signal'!$B$63*'Small Signal'!$B$14*'Small Signal'!$B$15)),IMSUM(IMPRODUCT('Small Signal'!$B$12*'Small Signal'!$B$14*('Small Signal'!$B$15+'Small Signal'!$B$39),IMPOWER(M188,2)),IMSUM(IMPRODUCT(M188,('Small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-0.000287890528565242-0.001431081380858i</v>
      </c>
      <c r="S188" s="195">
        <f t="shared" si="91"/>
        <v>-57.591664306967765</v>
      </c>
      <c r="T188" s="195">
        <f t="shared" si="92"/>
        <v>-155.99183101849485</v>
      </c>
      <c r="U188" s="195" t="str">
        <f>IMDIV(IMSUM('Small Signal'!$B$75,IMPRODUCT(M188,'Small Signal'!$B$76)),IMSUM(IMPRODUCT('Small Signal'!$B$79,IMPOWER(M188,2)),IMSUM(IMPRODUCT(M188,'Small Signal'!$B$78),'Small Signal'!$B$77)))</f>
        <v>-0.000177752255748763-0.000761715575352438i</v>
      </c>
      <c r="V188" s="195">
        <f t="shared" si="69"/>
        <v>-62.133859259282389</v>
      </c>
      <c r="W188" s="195">
        <f t="shared" si="70"/>
        <v>-103.13535067438717</v>
      </c>
      <c r="X188" s="195" t="str">
        <f>IMPRODUCT(IMDIV(IMSUM(IMPRODUCT(M188,'Small Signal'!$B$58*'Small Signal'!$B$6*'Small Signal'!$B$51*'Small Signal'!$B$7*'Small Signal'!$B$8),'Small Signal'!$B$58*'Small Signal'!$B$6*'Small Signal'!$B$51),IMSUM(IMSUM(IMPRODUCT(M188,('Small Signal'!$B$5+'Small Signal'!$B$6)*('Small Signal'!$B$57*'Small Signal'!$B$58)+'Small Signal'!$B$5*'Small Signal'!$B$58*('Small Signal'!$B$8+'Small Signal'!$B$9)+'Small Signal'!$B$6*'Small Signal'!$B$58*('Small Signal'!$B$8+'Small Signal'!$B$9)+'Small Signal'!$B$7*'Small Signal'!$B$8*('Small Signal'!$B$5+'Small Signal'!$B$6)),'Small Signal'!$B$6+'Small Signal'!$B$5),IMPRODUCT(IMPOWER(M188,2),'Small Signal'!$B$57*'Small Signal'!$B$58*'Small Signal'!$B$8*'Small Signal'!$B$7*('Small Signal'!$B$5+'Small Signal'!$B$6)+('Small Signal'!$B$5+'Small Signal'!$B$6)*('Small Signal'!$B$9*'Small Signal'!$B$8*'Small Signal'!$B$58*'Small Signal'!$B$7)))),-1)</f>
        <v>-0.213859248918745+1.18136157180869i</v>
      </c>
      <c r="Y188" s="195">
        <f t="shared" si="71"/>
        <v>8.4632960114214875</v>
      </c>
      <c r="Z188" s="195">
        <f t="shared" si="72"/>
        <v>106.47567190885312</v>
      </c>
      <c r="AA188" s="195" t="str">
        <f t="shared" si="73"/>
        <v>2.19391691458825+0.238904010280839i</v>
      </c>
      <c r="AB188" s="195" t="str">
        <f t="shared" si="74"/>
        <v>0.00226977365050825-0.00265908170425951i</v>
      </c>
      <c r="AC188" s="192">
        <f t="shared" si="75"/>
        <v>-49.128368295546267</v>
      </c>
      <c r="AD188" s="195">
        <f t="shared" si="76"/>
        <v>-49.516159109641748</v>
      </c>
      <c r="AE188" s="195" t="str">
        <f t="shared" si="77"/>
        <v>0.00093787547327756-0.0000470897634093168i</v>
      </c>
      <c r="AF188" s="192">
        <f t="shared" si="78"/>
        <v>-60.546161897463719</v>
      </c>
      <c r="AG188" s="195">
        <f t="shared" si="79"/>
        <v>-2.8743484586604642</v>
      </c>
      <c r="AI188" s="195" t="str">
        <f t="shared" si="80"/>
        <v>0.002-0.000502099901270791i</v>
      </c>
      <c r="AJ188" s="195">
        <f t="shared" si="81"/>
        <v>0.22500000000000001</v>
      </c>
      <c r="AK188" s="195" t="str">
        <f t="shared" si="82"/>
        <v>0.0375-1.00419980254158i</v>
      </c>
      <c r="AL188" s="195" t="str">
        <f t="shared" si="83"/>
        <v>0.00198138110860825-0.000496880377581633i</v>
      </c>
      <c r="AM188" s="195" t="str">
        <f t="shared" si="84"/>
        <v>0.320457466595071-0.43039382622174i</v>
      </c>
      <c r="AN188" s="195" t="str">
        <f t="shared" si="85"/>
        <v>0.006+13.7178977422784i</v>
      </c>
      <c r="AO188" s="195" t="str">
        <f t="shared" si="86"/>
        <v>-0.00120536721108312-0.000536869994528191i</v>
      </c>
      <c r="AP188" s="195">
        <f t="shared" si="93"/>
        <v>-57.591664306967765</v>
      </c>
      <c r="AQ188" s="195">
        <f t="shared" si="94"/>
        <v>-155.99183101849485</v>
      </c>
      <c r="AS188" s="195" t="str">
        <f t="shared" si="87"/>
        <v>0.318002952836611-0.438243462202677i</v>
      </c>
      <c r="AT188" s="195" t="str">
        <f t="shared" si="88"/>
        <v>-0.00122369521517079-0.000526855185103154i</v>
      </c>
      <c r="AU188" s="195">
        <f t="shared" si="95"/>
        <v>-57.50800085096617</v>
      </c>
      <c r="AV188" s="195">
        <f t="shared" si="96"/>
        <v>-156.70597347232885</v>
      </c>
    </row>
    <row r="189" spans="6:48" x14ac:dyDescent="0.2">
      <c r="F189" s="195">
        <v>187</v>
      </c>
      <c r="G189" s="210">
        <f t="shared" si="65"/>
        <v>100.66871765269971</v>
      </c>
      <c r="H189" s="210">
        <f t="shared" si="66"/>
        <v>95.848109990360712</v>
      </c>
      <c r="I189" s="196">
        <f t="shared" si="67"/>
        <v>0</v>
      </c>
      <c r="J189" s="195">
        <f t="shared" si="89"/>
        <v>0</v>
      </c>
      <c r="K189" s="195">
        <f t="shared" si="90"/>
        <v>0</v>
      </c>
      <c r="L189" s="195">
        <f>10^('Small Signal'!F189/30)</f>
        <v>1711328.3041617833</v>
      </c>
      <c r="M189" s="195" t="str">
        <f t="shared" si="68"/>
        <v>10752592.8564699i</v>
      </c>
      <c r="N189" s="195">
        <f>IF(D$32=1, IF(AND('Small Signal'!$B$62&gt;=1,FCCM=0),V189+0,S189+0), 0)</f>
        <v>-58.76202993410481</v>
      </c>
      <c r="O189" s="195">
        <f>IF(D$32=1, IF(AND('Small Signal'!$B$62&gt;=1,FCCM=0),W189,T189), 0)</f>
        <v>-157.31939102031942</v>
      </c>
      <c r="P189" s="195">
        <f>IF(AND('Small Signal'!$B$62&gt;=1,FCCM=0),AF189+0,AC189+0)</f>
        <v>-50.92576255796623</v>
      </c>
      <c r="Q189" s="195">
        <f>IF(AND('Small Signal'!$B$62&gt;=1,FCCM=0),AG189,AD189)</f>
        <v>-52.02788178497525</v>
      </c>
      <c r="R189" s="195" t="str">
        <f>IMDIV(IMSUM('Small Signal'!$B$2*'Small Signal'!$B$39*'Small Signal'!$B$63,IMPRODUCT(M189,'Small Signal'!$B$2*'Small Signal'!$B$39*'Small Signal'!$B$63*'Small Signal'!$B$14*'Small Signal'!$B$15)),IMSUM(IMPRODUCT('Small Signal'!$B$12*'Small Signal'!$B$14*('Small Signal'!$B$15+'Small Signal'!$B$39),IMPOWER(M189,2)),IMSUM(IMPRODUCT(M189,('Small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-0.000246997943579513-0.00132352742564724i</v>
      </c>
      <c r="S189" s="195">
        <f t="shared" si="91"/>
        <v>-58.76202993410481</v>
      </c>
      <c r="T189" s="195">
        <f t="shared" si="92"/>
        <v>-157.31939102031942</v>
      </c>
      <c r="U189" s="195" t="str">
        <f>IMDIV(IMSUM('Small Signal'!$B$75,IMPRODUCT(M189,'Small Signal'!$B$76)),IMSUM(IMPRODUCT('Small Signal'!$B$79,IMPOWER(M189,2)),IMSUM(IMPRODUCT(M189,'Small Signal'!$B$78),'Small Signal'!$B$77)))</f>
        <v>-0.000152462186580337-0.000705041372149646i</v>
      </c>
      <c r="V189" s="195">
        <f t="shared" si="69"/>
        <v>-62.837227574069402</v>
      </c>
      <c r="W189" s="195">
        <f t="shared" si="70"/>
        <v>-102.20208423889251</v>
      </c>
      <c r="X189" s="195" t="str">
        <f>IMPRODUCT(IMDIV(IMSUM(IMPRODUCT(M189,'Small Signal'!$B$58*'Small Signal'!$B$6*'Small Signal'!$B$51*'Small Signal'!$B$7*'Small Signal'!$B$8),'Small Signal'!$B$58*'Small Signal'!$B$6*'Small Signal'!$B$51),IMSUM(IMSUM(IMPRODUCT(M189,('Small Signal'!$B$5+'Small Signal'!$B$6)*('Small Signal'!$B$57*'Small Signal'!$B$58)+'Small Signal'!$B$5*'Small Signal'!$B$58*('Small Signal'!$B$8+'Small Signal'!$B$9)+'Small Signal'!$B$6*'Small Signal'!$B$58*('Small Signal'!$B$8+'Small Signal'!$B$9)+'Small Signal'!$B$7*'Small Signal'!$B$8*('Small Signal'!$B$5+'Small Signal'!$B$6)),'Small Signal'!$B$6+'Small Signal'!$B$5),IMPRODUCT(IMPOWER(M189,2),'Small Signal'!$B$57*'Small Signal'!$B$58*'Small Signal'!$B$8*'Small Signal'!$B$7*('Small Signal'!$B$5+'Small Signal'!$B$6)+('Small Signal'!$B$5+'Small Signal'!$B$6)*('Small Signal'!$B$9*'Small Signal'!$B$8*'Small Signal'!$B$58*'Small Signal'!$B$7)))),-1)</f>
        <v>-0.184301763738208+1.09916823437527i</v>
      </c>
      <c r="Y189" s="195">
        <f t="shared" si="71"/>
        <v>7.8362673761385881</v>
      </c>
      <c r="Z189" s="195">
        <f t="shared" si="72"/>
        <v>105.29150923534417</v>
      </c>
      <c r="AA189" s="195" t="str">
        <f t="shared" si="73"/>
        <v>2.20049388395689+0.222472304457012i</v>
      </c>
      <c r="AB189" s="195" t="str">
        <f t="shared" si="74"/>
        <v>0.00174897343021235-0.00224083072452966i</v>
      </c>
      <c r="AC189" s="192">
        <f t="shared" si="75"/>
        <v>-50.92576255796623</v>
      </c>
      <c r="AD189" s="195">
        <f t="shared" si="76"/>
        <v>-52.02788178497525</v>
      </c>
      <c r="AE189" s="195" t="str">
        <f t="shared" si="77"/>
        <v>0.000803058130077384-0.000037641224036916i</v>
      </c>
      <c r="AF189" s="192">
        <f t="shared" si="78"/>
        <v>-61.895529276335914</v>
      </c>
      <c r="AG189" s="195">
        <f t="shared" si="79"/>
        <v>-2.6836238218038102</v>
      </c>
      <c r="AI189" s="195" t="str">
        <f t="shared" si="80"/>
        <v>0.002-0.000465004121958498i</v>
      </c>
      <c r="AJ189" s="195">
        <f t="shared" si="81"/>
        <v>0.22500000000000001</v>
      </c>
      <c r="AK189" s="195" t="str">
        <f t="shared" si="82"/>
        <v>0.0375-0.930008243916995i</v>
      </c>
      <c r="AL189" s="195" t="str">
        <f t="shared" si="83"/>
        <v>0.00198120106864423-0.000460757898846788i</v>
      </c>
      <c r="AM189" s="195" t="str">
        <f t="shared" si="84"/>
        <v>0.289550859865577-0.419907692014591i</v>
      </c>
      <c r="AN189" s="195" t="str">
        <f t="shared" si="85"/>
        <v>0.006+14.8122452614636i</v>
      </c>
      <c r="AO189" s="195" t="str">
        <f t="shared" si="86"/>
        <v>-0.001064006458022-0.000444660492294607i</v>
      </c>
      <c r="AP189" s="195">
        <f t="shared" si="93"/>
        <v>-58.76202993410481</v>
      </c>
      <c r="AQ189" s="195">
        <f t="shared" si="94"/>
        <v>-157.31939102031942</v>
      </c>
      <c r="AS189" s="195" t="str">
        <f t="shared" si="87"/>
        <v>0.286828542596143-0.426815313443171i</v>
      </c>
      <c r="AT189" s="195" t="str">
        <f t="shared" si="88"/>
        <v>-0.00107861737085166-0.000435433029941944i</v>
      </c>
      <c r="AU189" s="195">
        <f t="shared" si="95"/>
        <v>-58.686966323138343</v>
      </c>
      <c r="AV189" s="195">
        <f t="shared" si="96"/>
        <v>-158.01628958882691</v>
      </c>
    </row>
    <row r="190" spans="6:48" x14ac:dyDescent="0.2">
      <c r="F190" s="195">
        <v>188</v>
      </c>
      <c r="G190" s="210">
        <f t="shared" si="65"/>
        <v>99.487219733670855</v>
      </c>
      <c r="H190" s="210">
        <f t="shared" si="66"/>
        <v>95.014706916189851</v>
      </c>
      <c r="I190" s="196">
        <f t="shared" si="67"/>
        <v>0</v>
      </c>
      <c r="J190" s="195">
        <f t="shared" si="89"/>
        <v>0</v>
      </c>
      <c r="K190" s="195">
        <f t="shared" si="90"/>
        <v>0</v>
      </c>
      <c r="L190" s="195">
        <f>10^('Small Signal'!F190/30)</f>
        <v>1847849.797422294</v>
      </c>
      <c r="M190" s="195" t="str">
        <f t="shared" si="68"/>
        <v>11610382.6970385i</v>
      </c>
      <c r="N190" s="195">
        <f>IF(D$32=1, IF(AND('Small Signal'!$B$62&gt;=1,FCCM=0),V190+0,S190+0), 0)</f>
        <v>-59.948472171123939</v>
      </c>
      <c r="O190" s="195">
        <f>IF(D$32=1, IF(AND('Small Signal'!$B$62&gt;=1,FCCM=0),W190,T190), 0)</f>
        <v>-158.62442698960996</v>
      </c>
      <c r="P190" s="195">
        <f>IF(AND('Small Signal'!$B$62&gt;=1,FCCM=0),AF190+0,AC190+0)</f>
        <v>-52.744694730495056</v>
      </c>
      <c r="Q190" s="195">
        <f>IF(AND('Small Signal'!$B$62&gt;=1,FCCM=0),AG190,AD190)</f>
        <v>-54.436237982138366</v>
      </c>
      <c r="R190" s="195" t="str">
        <f>IMDIV(IMSUM('Small Signal'!$B$2*'Small Signal'!$B$39*'Small Signal'!$B$63,IMPRODUCT(M190,'Small Signal'!$B$2*'Small Signal'!$B$39*'Small Signal'!$B$63*'Small Signal'!$B$14*'Small Signal'!$B$15)),IMSUM(IMPRODUCT('Small Signal'!$B$12*'Small Signal'!$B$14*('Small Signal'!$B$15+'Small Signal'!$B$39),IMPOWER(M190,2)),IMSUM(IMPRODUCT(M190,('Small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-0.000211904632723643-0.00122429404775455i</v>
      </c>
      <c r="S190" s="195">
        <f t="shared" si="91"/>
        <v>-59.948472171123939</v>
      </c>
      <c r="T190" s="195">
        <f t="shared" si="92"/>
        <v>-158.62442698960996</v>
      </c>
      <c r="U190" s="195" t="str">
        <f>IMDIV(IMSUM('Small Signal'!$B$75,IMPRODUCT(M190,'Small Signal'!$B$76)),IMSUM(IMPRODUCT('Small Signal'!$B$79,IMPOWER(M190,2)),IMSUM(IMPRODUCT(M190,'Small Signal'!$B$78),'Small Signal'!$B$77)))</f>
        <v>-0.000130769727641781-0.000652636111276539i</v>
      </c>
      <c r="V190" s="195">
        <f t="shared" si="69"/>
        <v>-63.535623399302068</v>
      </c>
      <c r="W190" s="195">
        <f t="shared" si="70"/>
        <v>-101.33040203515132</v>
      </c>
      <c r="X190" s="195" t="str">
        <f>IMPRODUCT(IMDIV(IMSUM(IMPRODUCT(M190,'Small Signal'!$B$58*'Small Signal'!$B$6*'Small Signal'!$B$51*'Small Signal'!$B$7*'Small Signal'!$B$8),'Small Signal'!$B$58*'Small Signal'!$B$6*'Small Signal'!$B$51),IMSUM(IMSUM(IMPRODUCT(M190,('Small Signal'!$B$5+'Small Signal'!$B$6)*('Small Signal'!$B$57*'Small Signal'!$B$58)+'Small Signal'!$B$5*'Small Signal'!$B$58*('Small Signal'!$B$8+'Small Signal'!$B$9)+'Small Signal'!$B$6*'Small Signal'!$B$58*('Small Signal'!$B$8+'Small Signal'!$B$9)+'Small Signal'!$B$7*'Small Signal'!$B$8*('Small Signal'!$B$5+'Small Signal'!$B$6)),'Small Signal'!$B$6+'Small Signal'!$B$5),IMPRODUCT(IMPOWER(M190,2),'Small Signal'!$B$57*'Small Signal'!$B$58*'Small Signal'!$B$8*'Small Signal'!$B$7*('Small Signal'!$B$5+'Small Signal'!$B$6)+('Small Signal'!$B$5+'Small Signal'!$B$6)*('Small Signal'!$B$9*'Small Signal'!$B$8*'Small Signal'!$B$58*'Small Signal'!$B$7)))),-1)</f>
        <v>-0.158724703146131+1.02203714054446i</v>
      </c>
      <c r="Y190" s="195">
        <f t="shared" si="71"/>
        <v>7.2037774406288877</v>
      </c>
      <c r="Z190" s="195">
        <f t="shared" si="72"/>
        <v>104.18818900747173</v>
      </c>
      <c r="AA190" s="195" t="str">
        <f t="shared" si="73"/>
        <v>2.20619292552208+0.207013870426335i</v>
      </c>
      <c r="AB190" s="195" t="str">
        <f t="shared" si="74"/>
        <v>0.00134089902748045-0.00187545285188044i</v>
      </c>
      <c r="AC190" s="192">
        <f t="shared" si="75"/>
        <v>-52.744694730495056</v>
      </c>
      <c r="AD190" s="195">
        <f t="shared" si="76"/>
        <v>-54.436237982138366</v>
      </c>
      <c r="AE190" s="195" t="str">
        <f t="shared" si="77"/>
        <v>0.000687774731185572-0.0000300620454839697i</v>
      </c>
      <c r="AF190" s="192">
        <f t="shared" si="78"/>
        <v>-63.242786449492115</v>
      </c>
      <c r="AG190" s="195">
        <f t="shared" si="79"/>
        <v>-2.5027565185149472</v>
      </c>
      <c r="AI190" s="195" t="str">
        <f t="shared" si="80"/>
        <v>0.002-0.000430649026002852i</v>
      </c>
      <c r="AJ190" s="195">
        <f t="shared" si="81"/>
        <v>0.22500000000000001</v>
      </c>
      <c r="AK190" s="195" t="str">
        <f t="shared" si="82"/>
        <v>0.0375-0.861298052005705i</v>
      </c>
      <c r="AL190" s="195" t="str">
        <f t="shared" si="83"/>
        <v>0.00198103898319515-0.000427350634808896i</v>
      </c>
      <c r="AM190" s="195" t="str">
        <f t="shared" si="84"/>
        <v>0.260282852522463-0.407575305064754i</v>
      </c>
      <c r="AN190" s="195" t="str">
        <f t="shared" si="85"/>
        <v>0.006+15.9938945316347i</v>
      </c>
      <c r="AO190" s="195" t="str">
        <f t="shared" si="86"/>
        <v>-0.000936751989238961-0.000366648464774118i</v>
      </c>
      <c r="AP190" s="195">
        <f t="shared" si="93"/>
        <v>-59.948472171123939</v>
      </c>
      <c r="AQ190" s="195">
        <f t="shared" si="94"/>
        <v>-158.62442698960996</v>
      </c>
      <c r="AS190" s="195" t="str">
        <f t="shared" si="87"/>
        <v>0.257407688583557-0.413592328579117i</v>
      </c>
      <c r="AT190" s="195" t="str">
        <f t="shared" si="88"/>
        <v>-0.000948302786632019-0.000358323829079396i</v>
      </c>
      <c r="AU190" s="195">
        <f t="shared" si="95"/>
        <v>-59.881445710707538</v>
      </c>
      <c r="AV190" s="195">
        <f t="shared" si="96"/>
        <v>-159.30052519451991</v>
      </c>
    </row>
    <row r="191" spans="6:48" x14ac:dyDescent="0.2">
      <c r="F191" s="195">
        <v>189</v>
      </c>
      <c r="G191" s="210">
        <f t="shared" si="65"/>
        <v>98.387255226582582</v>
      </c>
      <c r="H191" s="210">
        <f t="shared" si="66"/>
        <v>94.238751494086074</v>
      </c>
      <c r="I191" s="196">
        <f t="shared" si="67"/>
        <v>0</v>
      </c>
      <c r="J191" s="195">
        <f t="shared" si="89"/>
        <v>0</v>
      </c>
      <c r="K191" s="195">
        <f t="shared" si="90"/>
        <v>0</v>
      </c>
      <c r="L191" s="195">
        <f>10^('Small Signal'!F191/30)</f>
        <v>1995262.31496888</v>
      </c>
      <c r="M191" s="195" t="str">
        <f t="shared" si="68"/>
        <v>12536602.8613816i</v>
      </c>
      <c r="N191" s="195">
        <f>IF(D$32=1, IF(AND('Small Signal'!$B$62&gt;=1,FCCM=0),V191+0,S191+0), 0)</f>
        <v>-61.150139827262038</v>
      </c>
      <c r="O191" s="195">
        <f>IF(D$32=1, IF(AND('Small Signal'!$B$62&gt;=1,FCCM=0),W191,T191), 0)</f>
        <v>-159.89883531676591</v>
      </c>
      <c r="P191" s="195">
        <f>IF(AND('Small Signal'!$B$62&gt;=1,FCCM=0),AF191+0,AC191+0)</f>
        <v>-54.583582655721379</v>
      </c>
      <c r="Q191" s="195">
        <f>IF(AND('Small Signal'!$B$62&gt;=1,FCCM=0),AG191,AD191)</f>
        <v>-56.737779699967618</v>
      </c>
      <c r="R191" s="195" t="str">
        <f>IMDIV(IMSUM('Small Signal'!$B$2*'Small Signal'!$B$39*'Small Signal'!$B$63,IMPRODUCT(M191,'Small Signal'!$B$2*'Small Signal'!$B$39*'Small Signal'!$B$63*'Small Signal'!$B$14*'Small Signal'!$B$15)),IMSUM(IMPRODUCT('Small Signal'!$B$12*'Small Signal'!$B$14*('Small Signal'!$B$15+'Small Signal'!$B$39),IMPOWER(M191,2)),IMSUM(IMPRODUCT(M191,('Small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-0.000181790587800339-0.00113268975963625i</v>
      </c>
      <c r="S191" s="195">
        <f t="shared" si="91"/>
        <v>-61.150139827262038</v>
      </c>
      <c r="T191" s="195">
        <f t="shared" si="92"/>
        <v>-159.89883531676591</v>
      </c>
      <c r="U191" s="195" t="str">
        <f>IMDIV(IMSUM('Small Signal'!$B$75,IMPRODUCT(M191,'Small Signal'!$B$76)),IMSUM(IMPRODUCT('Small Signal'!$B$79,IMPOWER(M191,2)),IMSUM(IMPRODUCT(M191,'Small Signal'!$B$78),'Small Signal'!$B$77)))</f>
        <v>-0.000112163260018335-0.000604167582131167i</v>
      </c>
      <c r="V191" s="195">
        <f t="shared" si="69"/>
        <v>-64.229690906847395</v>
      </c>
      <c r="W191" s="195">
        <f t="shared" si="70"/>
        <v>-100.51718237291685</v>
      </c>
      <c r="X191" s="195" t="str">
        <f>IMPRODUCT(IMDIV(IMSUM(IMPRODUCT(M191,'Small Signal'!$B$58*'Small Signal'!$B$6*'Small Signal'!$B$51*'Small Signal'!$B$7*'Small Signal'!$B$8),'Small Signal'!$B$58*'Small Signal'!$B$6*'Small Signal'!$B$51),IMSUM(IMSUM(IMPRODUCT(M191,('Small Signal'!$B$5+'Small Signal'!$B$6)*('Small Signal'!$B$57*'Small Signal'!$B$58)+'Small Signal'!$B$5*'Small Signal'!$B$58*('Small Signal'!$B$8+'Small Signal'!$B$9)+'Small Signal'!$B$6*'Small Signal'!$B$58*('Small Signal'!$B$8+'Small Signal'!$B$9)+'Small Signal'!$B$7*'Small Signal'!$B$8*('Small Signal'!$B$5+'Small Signal'!$B$6)),'Small Signal'!$B$6+'Small Signal'!$B$5),IMPRODUCT(IMPOWER(M191,2),'Small Signal'!$B$57*'Small Signal'!$B$58*'Small Signal'!$B$8*'Small Signal'!$B$7*('Small Signal'!$B$5+'Small Signal'!$B$6)+('Small Signal'!$B$5+'Small Signal'!$B$6)*('Small Signal'!$B$9*'Small Signal'!$B$8*'Small Signal'!$B$58*'Small Signal'!$B$7)))),-1)</f>
        <v>-0.136619237663563+0.949790915114273i</v>
      </c>
      <c r="Y191" s="195">
        <f t="shared" si="71"/>
        <v>6.5665571715406328</v>
      </c>
      <c r="Z191" s="195">
        <f t="shared" si="72"/>
        <v>103.16105561679831</v>
      </c>
      <c r="AA191" s="195" t="str">
        <f t="shared" si="73"/>
        <v>2.21112425371859+0.192503236791898i</v>
      </c>
      <c r="AB191" s="195" t="str">
        <f t="shared" si="74"/>
        <v>0.00102323408632251-0.0015599656331468i</v>
      </c>
      <c r="AC191" s="192">
        <f t="shared" si="75"/>
        <v>-54.583582655721379</v>
      </c>
      <c r="AD191" s="195">
        <f t="shared" si="76"/>
        <v>-56.737779699967618</v>
      </c>
      <c r="AE191" s="195" t="str">
        <f t="shared" si="77"/>
        <v>0.000589156539792304-0.0000239907308832164i</v>
      </c>
      <c r="AF191" s="192">
        <f t="shared" si="78"/>
        <v>-64.588190624541255</v>
      </c>
      <c r="AG191" s="195">
        <f t="shared" si="79"/>
        <v>-2.3318227665382447</v>
      </c>
      <c r="AI191" s="195" t="str">
        <f t="shared" si="80"/>
        <v>0.002-0.000398832128231665i</v>
      </c>
      <c r="AJ191" s="195">
        <f t="shared" si="81"/>
        <v>0.22500000000000001</v>
      </c>
      <c r="AK191" s="195" t="str">
        <f t="shared" si="82"/>
        <v>0.0375-0.797664256463329i</v>
      </c>
      <c r="AL191" s="195" t="str">
        <f t="shared" si="83"/>
        <v>0.00198089103350225-0.000396461614814922i</v>
      </c>
      <c r="AM191" s="195" t="str">
        <f t="shared" si="84"/>
        <v>0.232842074369341-0.393692460381019i</v>
      </c>
      <c r="AN191" s="195" t="str">
        <f t="shared" si="85"/>
        <v>0.006+17.2698100641481i</v>
      </c>
      <c r="AO191" s="195" t="str">
        <f t="shared" si="86"/>
        <v>-0.000822619424466569-0.000301054921832207i</v>
      </c>
      <c r="AP191" s="195">
        <f t="shared" si="93"/>
        <v>-61.150139827262038</v>
      </c>
      <c r="AQ191" s="195">
        <f t="shared" si="94"/>
        <v>-159.89883531676591</v>
      </c>
      <c r="AS191" s="195" t="str">
        <f t="shared" si="87"/>
        <v>0.229912191442784-0.398883704238933i</v>
      </c>
      <c r="AT191" s="195" t="str">
        <f t="shared" si="88"/>
        <v>-0.000831679901576989-0.000293676230773025i</v>
      </c>
      <c r="AU191" s="195">
        <f t="shared" si="95"/>
        <v>-61.090554677277396</v>
      </c>
      <c r="AV191" s="195">
        <f t="shared" si="96"/>
        <v>-160.55125758235573</v>
      </c>
    </row>
    <row r="192" spans="6:48" x14ac:dyDescent="0.2">
      <c r="F192" s="195">
        <v>190</v>
      </c>
      <c r="G192" s="210">
        <f t="shared" si="65"/>
        <v>97.363943713409427</v>
      </c>
      <c r="H192" s="210">
        <f t="shared" si="66"/>
        <v>93.516815115946841</v>
      </c>
      <c r="I192" s="196">
        <f t="shared" si="67"/>
        <v>0</v>
      </c>
      <c r="J192" s="195">
        <f t="shared" si="89"/>
        <v>0</v>
      </c>
      <c r="K192" s="195">
        <f t="shared" si="90"/>
        <v>0</v>
      </c>
      <c r="L192" s="195">
        <f>10^('Small Signal'!F192/30)</f>
        <v>2154434.6900318847</v>
      </c>
      <c r="M192" s="195" t="str">
        <f t="shared" si="68"/>
        <v>13536712.3896863i</v>
      </c>
      <c r="N192" s="195">
        <f>IF(D$32=1, IF(AND('Small Signal'!$B$62&gt;=1,FCCM=0),V192+0,S192+0), 0)</f>
        <v>-62.366058940233543</v>
      </c>
      <c r="O192" s="195">
        <f>IF(D$32=1, IF(AND('Small Signal'!$B$62&gt;=1,FCCM=0),W192,T192), 0)</f>
        <v>-161.13588822591021</v>
      </c>
      <c r="P192" s="195">
        <f>IF(AND('Small Signal'!$B$62&gt;=1,FCCM=0),AF192+0,AC192+0)</f>
        <v>-56.440813649801022</v>
      </c>
      <c r="Q192" s="195">
        <f>IF(AND('Small Signal'!$B$62&gt;=1,FCCM=0),AG192,AD192)</f>
        <v>-58.930346345306681</v>
      </c>
      <c r="R192" s="195" t="str">
        <f>IMDIV(IMSUM('Small Signal'!$B$2*'Small Signal'!$B$39*'Small Signal'!$B$63,IMPRODUCT(M192,'Small Signal'!$B$2*'Small Signal'!$B$39*'Small Signal'!$B$63*'Small Signal'!$B$14*'Small Signal'!$B$15)),IMSUM(IMPRODUCT('Small Signal'!$B$12*'Small Signal'!$B$14*('Small Signal'!$B$15+'Small Signal'!$B$39),IMPOWER(M192,2)),IMSUM(IMPRODUCT(M192,('Small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-0.000155951106581409-0.00104808987081173i</v>
      </c>
      <c r="S192" s="195">
        <f t="shared" si="91"/>
        <v>-62.366058940233543</v>
      </c>
      <c r="T192" s="195">
        <f t="shared" si="92"/>
        <v>-161.13588822591021</v>
      </c>
      <c r="U192" s="195" t="str">
        <f>IMDIV(IMSUM('Small Signal'!$B$75,IMPRODUCT(M192,'Small Signal'!$B$76)),IMSUM(IMPRODUCT('Small Signal'!$B$79,IMPOWER(M192,2)),IMSUM(IMPRODUCT(M192,'Small Signal'!$B$78),'Small Signal'!$B$77)))</f>
        <v>-0.0000962038815176148-0.000559331575449129i</v>
      </c>
      <c r="V192" s="195">
        <f t="shared" si="69"/>
        <v>-64.919998395732179</v>
      </c>
      <c r="W192" s="195">
        <f t="shared" si="70"/>
        <v>-99.759266904710557</v>
      </c>
      <c r="X192" s="195" t="str">
        <f>IMPRODUCT(IMDIV(IMSUM(IMPRODUCT(M192,'Small Signal'!$B$58*'Small Signal'!$B$6*'Small Signal'!$B$51*'Small Signal'!$B$7*'Small Signal'!$B$8),'Small Signal'!$B$58*'Small Signal'!$B$6*'Small Signal'!$B$51),IMSUM(IMSUM(IMPRODUCT(M192,('Small Signal'!$B$5+'Small Signal'!$B$6)*('Small Signal'!$B$57*'Small Signal'!$B$58)+'Small Signal'!$B$5*'Small Signal'!$B$58*('Small Signal'!$B$8+'Small Signal'!$B$9)+'Small Signal'!$B$6*'Small Signal'!$B$58*('Small Signal'!$B$8+'Small Signal'!$B$9)+'Small Signal'!$B$7*'Small Signal'!$B$8*('Small Signal'!$B$5+'Small Signal'!$B$6)),'Small Signal'!$B$6+'Small Signal'!$B$5),IMPRODUCT(IMPOWER(M192,2),'Small Signal'!$B$57*'Small Signal'!$B$58*'Small Signal'!$B$8*'Small Signal'!$B$7*('Small Signal'!$B$5+'Small Signal'!$B$6)+('Small Signal'!$B$5+'Small Signal'!$B$6)*('Small Signal'!$B$9*'Small Signal'!$B$8*'Small Signal'!$B$58*'Small Signal'!$B$7)))),-1)</f>
        <v>-0.117534463081037+0.882228279286887i</v>
      </c>
      <c r="Y192" s="195">
        <f t="shared" si="71"/>
        <v>5.925245290432537</v>
      </c>
      <c r="Z192" s="195">
        <f t="shared" si="72"/>
        <v>102.20554188060345</v>
      </c>
      <c r="AA192" s="195" t="str">
        <f t="shared" si="73"/>
        <v>2.21538606993964+0.178908203999007i</v>
      </c>
      <c r="AB192" s="195" t="str">
        <f t="shared" si="74"/>
        <v>0.000777456551459995-0.001290349155696i</v>
      </c>
      <c r="AC192" s="192">
        <f t="shared" si="75"/>
        <v>-56.440813649801022</v>
      </c>
      <c r="AD192" s="195">
        <f t="shared" si="76"/>
        <v>-58.930346345306681</v>
      </c>
      <c r="AE192" s="195" t="str">
        <f t="shared" si="77"/>
        <v>0.000504765404919793-0.0000191330484473209i</v>
      </c>
      <c r="AF192" s="192">
        <f t="shared" si="78"/>
        <v>-65.931972997067689</v>
      </c>
      <c r="AG192" s="195">
        <f t="shared" si="79"/>
        <v>-2.1707477336250669</v>
      </c>
      <c r="AI192" s="195" t="str">
        <f t="shared" si="80"/>
        <v>0.002-0.00036936590333481i</v>
      </c>
      <c r="AJ192" s="195">
        <f t="shared" si="81"/>
        <v>0.22500000000000001</v>
      </c>
      <c r="AK192" s="195" t="str">
        <f t="shared" si="82"/>
        <v>0.0375-0.738731806669621i</v>
      </c>
      <c r="AL192" s="195" t="str">
        <f t="shared" si="83"/>
        <v>0.0019807537374164-0.00036790868337314i</v>
      </c>
      <c r="AM192" s="195" t="str">
        <f t="shared" si="84"/>
        <v>0.20735436983361-0.378566485745622i</v>
      </c>
      <c r="AN192" s="195" t="str">
        <f t="shared" si="85"/>
        <v>0.006+18.6475119653842i</v>
      </c>
      <c r="AO192" s="195" t="str">
        <f t="shared" si="86"/>
        <v>-0.00072064340319366-0.000246227192546824i</v>
      </c>
      <c r="AP192" s="195">
        <f t="shared" si="93"/>
        <v>-62.366058940233543</v>
      </c>
      <c r="AQ192" s="195">
        <f t="shared" si="94"/>
        <v>-161.13588822591021</v>
      </c>
      <c r="AS192" s="195" t="str">
        <f t="shared" si="87"/>
        <v>0.204450100931625-0.383005451804999i</v>
      </c>
      <c r="AT192" s="195" t="str">
        <f t="shared" si="88"/>
        <v>-0.000727699119042256-0.000239784320582234i</v>
      </c>
      <c r="AU192" s="195">
        <f t="shared" si="95"/>
        <v>-62.313304351814935</v>
      </c>
      <c r="AV192" s="195">
        <f t="shared" si="96"/>
        <v>-161.76241851083708</v>
      </c>
    </row>
    <row r="193" spans="6:48" x14ac:dyDescent="0.2">
      <c r="F193" s="195">
        <v>191</v>
      </c>
      <c r="G193" s="210">
        <f t="shared" si="65"/>
        <v>96.412542805629542</v>
      </c>
      <c r="H193" s="210">
        <f t="shared" si="66"/>
        <v>92.845564840780057</v>
      </c>
      <c r="I193" s="196">
        <f t="shared" si="67"/>
        <v>0</v>
      </c>
      <c r="J193" s="195">
        <f t="shared" si="89"/>
        <v>0</v>
      </c>
      <c r="K193" s="195">
        <f t="shared" si="90"/>
        <v>0</v>
      </c>
      <c r="L193" s="195">
        <f>10^('Small Signal'!F193/30)</f>
        <v>2326305.067153628</v>
      </c>
      <c r="M193" s="195" t="str">
        <f t="shared" si="68"/>
        <v>14616605.8179571i</v>
      </c>
      <c r="N193" s="195">
        <f>IF(D$32=1, IF(AND('Small Signal'!$B$62&gt;=1,FCCM=0),V193+0,S193+0), 0)</f>
        <v>-63.595179135320485</v>
      </c>
      <c r="O193" s="195">
        <f>IF(D$32=1, IF(AND('Small Signal'!$B$62&gt;=1,FCCM=0),W193,T193), 0)</f>
        <v>-162.33022896093544</v>
      </c>
      <c r="P193" s="195">
        <f>IF(AND('Small Signal'!$B$62&gt;=1,FCCM=0),AF193+0,AC193+0)</f>
        <v>-58.314780689938353</v>
      </c>
      <c r="Q193" s="195">
        <f>IF(AND('Small Signal'!$B$62&gt;=1,FCCM=0),AG193,AD193)</f>
        <v>-61.013018615230209</v>
      </c>
      <c r="R193" s="195" t="str">
        <f>IMDIV(IMSUM('Small Signal'!$B$2*'Small Signal'!$B$39*'Small Signal'!$B$63,IMPRODUCT(M193,'Small Signal'!$B$2*'Small Signal'!$B$39*'Small Signal'!$B$63*'Small Signal'!$B$14*'Small Signal'!$B$15)),IMSUM(IMPRODUCT('Small Signal'!$B$12*'Small Signal'!$B$14*('Small Signal'!$B$15+'Small Signal'!$B$39),IMPOWER(M193,2)),IMSUM(IMPRODUCT(M193,('Small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-0.000133780748869134-0.000969928346302519i</v>
      </c>
      <c r="S193" s="195">
        <f t="shared" si="91"/>
        <v>-63.595179135320485</v>
      </c>
      <c r="T193" s="195">
        <f t="shared" si="92"/>
        <v>-162.33022896093544</v>
      </c>
      <c r="U193" s="195" t="str">
        <f>IMDIV(IMSUM('Small Signal'!$B$75,IMPRODUCT(M193,'Small Signal'!$B$76)),IMSUM(IMPRODUCT('Small Signal'!$B$79,IMPOWER(M193,2)),IMSUM(IMPRODUCT(M193,'Small Signal'!$B$78),'Small Signal'!$B$77)))</f>
        <v>-0.0000825150822364202-0.000517849103902722i</v>
      </c>
      <c r="V193" s="195">
        <f t="shared" si="69"/>
        <v>-65.607045256814473</v>
      </c>
      <c r="W193" s="195">
        <f t="shared" si="70"/>
        <v>-99.05351037201828</v>
      </c>
      <c r="X193" s="195" t="str">
        <f>IMPRODUCT(IMDIV(IMSUM(IMPRODUCT(M193,'Small Signal'!$B$58*'Small Signal'!$B$6*'Small Signal'!$B$51*'Small Signal'!$B$7*'Small Signal'!$B$8),'Small Signal'!$B$58*'Small Signal'!$B$6*'Small Signal'!$B$51),IMSUM(IMSUM(IMPRODUCT(M193,('Small Signal'!$B$5+'Small Signal'!$B$6)*('Small Signal'!$B$57*'Small Signal'!$B$58)+'Small Signal'!$B$5*'Small Signal'!$B$58*('Small Signal'!$B$8+'Small Signal'!$B$9)+'Small Signal'!$B$6*'Small Signal'!$B$58*('Small Signal'!$B$8+'Small Signal'!$B$9)+'Small Signal'!$B$7*'Small Signal'!$B$8*('Small Signal'!$B$5+'Small Signal'!$B$6)),'Small Signal'!$B$6+'Small Signal'!$B$5),IMPRODUCT(IMPOWER(M193,2),'Small Signal'!$B$57*'Small Signal'!$B$58*'Small Signal'!$B$8*'Small Signal'!$B$7*('Small Signal'!$B$5+'Small Signal'!$B$6)+('Small Signal'!$B$5+'Small Signal'!$B$6)*('Small Signal'!$B$9*'Small Signal'!$B$8*'Small Signal'!$B$58*'Small Signal'!$B$7)))),-1)</f>
        <v>-0.10107272074273+0.819132384481087i</v>
      </c>
      <c r="Y193" s="195">
        <f t="shared" si="71"/>
        <v>5.2803984453821382</v>
      </c>
      <c r="Z193" s="195">
        <f t="shared" si="72"/>
        <v>101.31721034570523</v>
      </c>
      <c r="AA193" s="195" t="str">
        <f t="shared" si="73"/>
        <v>2.21906537966112+0.16619182850874i</v>
      </c>
      <c r="AB193" s="195" t="str">
        <f t="shared" si="74"/>
        <v>0.000588374882459756-0.00106202541167272i</v>
      </c>
      <c r="AC193" s="192">
        <f t="shared" si="75"/>
        <v>-58.314780689938353</v>
      </c>
      <c r="AD193" s="195">
        <f t="shared" si="76"/>
        <v>-61.013018615230209</v>
      </c>
      <c r="AE193" s="195" t="str">
        <f t="shared" si="77"/>
        <v>0.000432526995145176-0.0000152503582023391i</v>
      </c>
      <c r="AF193" s="192">
        <f t="shared" si="78"/>
        <v>-67.274339933467942</v>
      </c>
      <c r="AG193" s="195">
        <f t="shared" si="79"/>
        <v>-2.0193406467551585</v>
      </c>
      <c r="AI193" s="195" t="str">
        <f t="shared" si="80"/>
        <v>0.002-0.000342076680610576i</v>
      </c>
      <c r="AJ193" s="195">
        <f t="shared" si="81"/>
        <v>0.22500000000000001</v>
      </c>
      <c r="AK193" s="195" t="str">
        <f t="shared" si="82"/>
        <v>0.0375-0.684153361221152i</v>
      </c>
      <c r="AL193" s="195" t="str">
        <f t="shared" si="83"/>
        <v>0.00198062386821517-0.000341523421401379i</v>
      </c>
      <c r="AM193" s="195" t="str">
        <f t="shared" si="84"/>
        <v>0.183885919816516-0.362502312266083i</v>
      </c>
      <c r="AN193" s="195" t="str">
        <f t="shared" si="85"/>
        <v>0.006+20.1351202594307i</v>
      </c>
      <c r="AO193" s="195" t="str">
        <f t="shared" si="86"/>
        <v>-0.000629872587109233-0.000200651881507513i</v>
      </c>
      <c r="AP193" s="195">
        <f t="shared" si="93"/>
        <v>-63.595179135320485</v>
      </c>
      <c r="AQ193" s="195">
        <f t="shared" si="94"/>
        <v>-162.33022896093544</v>
      </c>
      <c r="AS193" s="195" t="str">
        <f t="shared" si="87"/>
        <v>0.181070055154612-0.366266833460581i</v>
      </c>
      <c r="AT193" s="195" t="str">
        <f t="shared" si="88"/>
        <v>-0.000635330600884677-0.000195098004123784i</v>
      </c>
      <c r="AU193" s="195">
        <f t="shared" si="95"/>
        <v>-63.548645347246165</v>
      </c>
      <c r="AV193" s="195">
        <f t="shared" si="96"/>
        <v>-162.92926871227294</v>
      </c>
    </row>
    <row r="194" spans="6:48" x14ac:dyDescent="0.2">
      <c r="F194" s="195">
        <v>192</v>
      </c>
      <c r="G194" s="210">
        <f t="shared" ref="G194:G212" si="97">DEGREES((ATAN(10)+ATAN(L194/(fsw/6))-ATAN(L194/(fsw/6*Vo_ss/Vref))-ATAN(MAX(1/10,L194/(fsw/2)))))+90</f>
        <v>95.528479840554482</v>
      </c>
      <c r="H194" s="210">
        <f t="shared" ref="H194:H212" si="98">DEGREES((ATAN(10)-ATAN(MAX(1/10,L194/(fsw/2)))))+90</f>
        <v>92.221785649959926</v>
      </c>
      <c r="I194" s="196">
        <f t="shared" ref="I194:I212" si="99">IF(fz_cff&gt;fsw/4,IF(AV194+H194&gt;65,1,0),IF(AV194+G194&gt;65,1,0))</f>
        <v>0</v>
      </c>
      <c r="J194" s="195">
        <f t="shared" si="89"/>
        <v>0</v>
      </c>
      <c r="K194" s="195">
        <f t="shared" si="90"/>
        <v>0</v>
      </c>
      <c r="L194" s="195">
        <f>10^('Small Signal'!F194/30)</f>
        <v>2511886.431509587</v>
      </c>
      <c r="M194" s="195" t="str">
        <f t="shared" ref="M194:M212" si="100">COMPLEX(0,L194*2*PI())</f>
        <v>15782647.9197648i</v>
      </c>
      <c r="N194" s="195">
        <f>IF(D$32=1, IF(AND('Small Signal'!$B$62&gt;=1,FCCM=0),V194+0,S194+0), 0)</f>
        <v>-64.836414337702109</v>
      </c>
      <c r="O194" s="195">
        <f>IF(D$32=1, IF(AND('Small Signal'!$B$62&gt;=1,FCCM=0),W194,T194), 0)</f>
        <v>-163.47781068203693</v>
      </c>
      <c r="P194" s="195">
        <f>IF(AND('Small Signal'!$B$62&gt;=1,FCCM=0),AF194+0,AC194+0)</f>
        <v>-60.203913677441854</v>
      </c>
      <c r="Q194" s="195">
        <f>IF(AND('Small Signal'!$B$62&gt;=1,FCCM=0),AG194,AD194)</f>
        <v>-62.986027546855148</v>
      </c>
      <c r="R194" s="195" t="str">
        <f>IMDIV(IMSUM('Small Signal'!$B$2*'Small Signal'!$B$39*'Small Signal'!$B$63,IMPRODUCT(M194,'Small Signal'!$B$2*'Small Signal'!$B$39*'Small Signal'!$B$63*'Small Signal'!$B$14*'Small Signal'!$B$15)),IMSUM(IMPRODUCT('Small Signal'!$B$12*'Small Signal'!$B$14*('Small Signal'!$B$15+'Small Signal'!$B$39),IMPOWER(M194,2)),IMSUM(IMPRODUCT(M194,('Small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-0.000114759479830266-0.000897690918317028i</v>
      </c>
      <c r="S194" s="195">
        <f t="shared" si="91"/>
        <v>-64.836414337702109</v>
      </c>
      <c r="T194" s="195">
        <f t="shared" si="92"/>
        <v>-163.47781068203693</v>
      </c>
      <c r="U194" s="195" t="str">
        <f>IMDIV(IMSUM('Small Signal'!$B$75,IMPRODUCT(M194,'Small Signal'!$B$76)),IMSUM(IMPRODUCT('Small Signal'!$B$79,IMPOWER(M194,2)),IMSUM(IMPRODUCT(M194,'Small Signal'!$B$78),'Small Signal'!$B$77)))</f>
        <v>-0.0000707738831387059-0.000479463974067376i</v>
      </c>
      <c r="V194" s="195">
        <f t="shared" ref="V194:V212" si="101">20*LOG(IMABS(U194))</f>
        <v>-66.29126883986649</v>
      </c>
      <c r="W194" s="195">
        <f t="shared" ref="W194:W212" si="102">(180/PI())*IMARGUMENT(U194)</f>
        <v>-98.396819334580911</v>
      </c>
      <c r="X194" s="195" t="str">
        <f>IMPRODUCT(IMDIV(IMSUM(IMPRODUCT(M194,'Small Signal'!$B$58*'Small Signal'!$B$6*'Small Signal'!$B$51*'Small Signal'!$B$7*'Small Signal'!$B$8),'Small Signal'!$B$58*'Small Signal'!$B$6*'Small Signal'!$B$51),IMSUM(IMSUM(IMPRODUCT(M194,('Small Signal'!$B$5+'Small Signal'!$B$6)*('Small Signal'!$B$57*'Small Signal'!$B$58)+'Small Signal'!$B$5*'Small Signal'!$B$58*('Small Signal'!$B$8+'Small Signal'!$B$9)+'Small Signal'!$B$6*'Small Signal'!$B$58*('Small Signal'!$B$8+'Small Signal'!$B$9)+'Small Signal'!$B$7*'Small Signal'!$B$8*('Small Signal'!$B$5+'Small Signal'!$B$6)),'Small Signal'!$B$6+'Small Signal'!$B$5),IMPRODUCT(IMPOWER(M194,2),'Small Signal'!$B$57*'Small Signal'!$B$58*'Small Signal'!$B$8*'Small Signal'!$B$7*('Small Signal'!$B$5+'Small Signal'!$B$6)+('Small Signal'!$B$5+'Small Signal'!$B$6)*('Small Signal'!$B$9*'Small Signal'!$B$8*'Small Signal'!$B$58*'Small Signal'!$B$7)))),-1)</f>
        <v>-0.0868847356786104+0.760277492036482i</v>
      </c>
      <c r="Y194" s="195">
        <f t="shared" ref="Y194:Y212" si="103">IF(D$33=1, 20*LOG(IMABS(AA194))+20*LOG(IMABS(X194)), 0)</f>
        <v>4.6325006602602539</v>
      </c>
      <c r="Z194" s="195">
        <f t="shared" ref="Z194:Z212" si="104">IF(D$33=1, (180/PI())*IMARGUMENT(AA194)+(180/PI())*IMARGUMENT(X194), 0)</f>
        <v>100.49178313518176</v>
      </c>
      <c r="AA194" s="195" t="str">
        <f t="shared" ref="AA194:AA212" si="105">IMDIV(COMPLEX(1,IMABS(M194)/(2*PI()*fz_cff)),COMPLEX(1,IMABS(M194)/(2*PI()*fp_cff)))</f>
        <v>2.22223890177793+0.154314038569502i</v>
      </c>
      <c r="AB194" s="195" t="str">
        <f t="shared" ref="AB194:AB212" si="106">IMPRODUCT(AO194,X194,AA194)</f>
        <v>0.000443668787892582-0.000870224328296432i</v>
      </c>
      <c r="AC194" s="192">
        <f t="shared" ref="AC194:AC212" si="107">20*LOG(IMABS(AB194))</f>
        <v>-60.203913677441854</v>
      </c>
      <c r="AD194" s="195">
        <f t="shared" ref="AD194:AD212" si="108">(180/PI())*IMARGUMENT(AB194)</f>
        <v>-62.986027546855148</v>
      </c>
      <c r="AE194" s="195" t="str">
        <f t="shared" ref="AE194:AE212" si="109">IMPRODUCT(U194,X194)</f>
        <v>0.000370674837855245-0.0000121496897201183i</v>
      </c>
      <c r="AF194" s="192">
        <f t="shared" ref="AF194:AF212" si="110">20*LOG(IMABS(AE194))</f>
        <v>-68.615474554121391</v>
      </c>
      <c r="AG194" s="195">
        <f t="shared" ref="AG194:AG212" si="111">(180/PI())*IMARGUMENT(AE194)</f>
        <v>-1.8773241113077694</v>
      </c>
      <c r="AI194" s="195" t="str">
        <f t="shared" ref="AI194:AI212" si="112">IMSUM(ESR_ss,IMDIV(1,IMPRODUCT(Co_ss,M194)))</f>
        <v>0.002-0.000316803620369586i</v>
      </c>
      <c r="AJ194" s="195">
        <f t="shared" ref="AJ194:AJ212" si="113">Ro</f>
        <v>0.22500000000000001</v>
      </c>
      <c r="AK194" s="195" t="str">
        <f t="shared" ref="AK194:AK212" si="114">IMSUM(ESR2_ss,IMDIV(1,IMPRODUCT(Co2_ss,M194)))</f>
        <v>0.0375-0.633607240739172i</v>
      </c>
      <c r="AL194" s="195" t="str">
        <f t="shared" ref="AL194:AL212" si="115">IMDIV(1,(IMSUM(IMDIV(1,AI194),IMDIV(1,AJ194),IMDIV(1,AK194))))</f>
        <v>0.00198049837981337-0.000317150146777017i</v>
      </c>
      <c r="AM194" s="195" t="str">
        <f t="shared" ref="AM194:AM212" si="116">IMDIV(IMPRODUCT(Re,IMDIV(1,IMPRODUCT(Ce,M194))),IMSUM(Re,IMDIV(1,IMPRODUCT(Ce,M194))))</f>
        <v>0.162449325272195-0.345790891903247i</v>
      </c>
      <c r="AN194" s="195" t="str">
        <f t="shared" ref="AN194:AN212" si="117">IMSUM(Rdc_ss,IMPRODUCT(Lo_ss,M194))</f>
        <v>0.006+21.7414027466148i</v>
      </c>
      <c r="AO194" s="195" t="str">
        <f t="shared" ref="AO194:AO211" si="118">IMDIV(IMPRODUCT(AL194,AM194),IMPRODUCT(Ri,IMSUM(AM194,AL194,AN194)))</f>
        <v>-0.000549371836029499-0.000162962805018217i</v>
      </c>
      <c r="AP194" s="195">
        <f t="shared" si="93"/>
        <v>-64.836414337702109</v>
      </c>
      <c r="AQ194" s="195">
        <f t="shared" si="94"/>
        <v>-163.47781068203693</v>
      </c>
      <c r="AS194" s="195" t="str">
        <f t="shared" ref="AS194:AS212" si="119">IMDIV(IMPRODUCT(Re_vimax,IMDIV(1,IMPRODUCT(Ce,M194))),IMSUM(Re_vimax,IMDIV(1,IMPRODUCT(Ce,M194))))</f>
        <v>0.159768303456126-0.348959412283894i</v>
      </c>
      <c r="AT194" s="195" t="str">
        <f t="shared" ref="AT194:AT212" si="120">IMDIV(IMPRODUCT(AL194,AS194),IMPRODUCT(Ri,IMSUM(AS194,AL194,AN194)))</f>
        <v>-0.000553568298987768-0.000158228022160665i</v>
      </c>
      <c r="AU194" s="195">
        <f t="shared" si="95"/>
        <v>-64.795505719935505</v>
      </c>
      <c r="AV194" s="195">
        <f t="shared" si="96"/>
        <v>-164.04832207623676</v>
      </c>
    </row>
    <row r="195" spans="6:48" x14ac:dyDescent="0.2">
      <c r="F195" s="195">
        <v>193</v>
      </c>
      <c r="G195" s="210">
        <f t="shared" si="97"/>
        <v>94.707373796379088</v>
      </c>
      <c r="H195" s="210">
        <f t="shared" si="98"/>
        <v>91.642395963892895</v>
      </c>
      <c r="I195" s="196">
        <f t="shared" si="99"/>
        <v>0</v>
      </c>
      <c r="J195" s="195">
        <f t="shared" ref="J195:J212" si="121">IF(P195&gt;0,1,0)</f>
        <v>0</v>
      </c>
      <c r="K195" s="195">
        <f t="shared" ref="K195:K212" si="122">IF(Q195&gt;0,1,0)</f>
        <v>0</v>
      </c>
      <c r="L195" s="195">
        <f>10^('Small Signal'!F195/30)</f>
        <v>2712272.5793320318</v>
      </c>
      <c r="M195" s="195" t="str">
        <f t="shared" si="100"/>
        <v>17041711.2195251i</v>
      </c>
      <c r="N195" s="195">
        <f>IF(D$32=1, IF(AND('Small Signal'!$B$62&gt;=1,FCCM=0),V195+0,S195+0), 0)</f>
        <v>-66.088676839429993</v>
      </c>
      <c r="O195" s="195">
        <f>IF(D$32=1, IF(AND('Small Signal'!$B$62&gt;=1,FCCM=0),W195,T195), 0)</f>
        <v>-164.57579474002497</v>
      </c>
      <c r="P195" s="195">
        <f>IF(AND('Small Signal'!$B$62&gt;=1,FCCM=0),AF195+0,AC195+0)</f>
        <v>-62.106704846837602</v>
      </c>
      <c r="Q195" s="195">
        <f>IF(AND('Small Signal'!$B$62&gt;=1,FCCM=0),AG195,AD195)</f>
        <v>-64.850632254969128</v>
      </c>
      <c r="R195" s="195" t="str">
        <f>IMDIV(IMSUM('Small Signal'!$B$2*'Small Signal'!$B$39*'Small Signal'!$B$63,IMPRODUCT(M195,'Small Signal'!$B$2*'Small Signal'!$B$39*'Small Signal'!$B$63*'Small Signal'!$B$14*'Small Signal'!$B$15)),IMSUM(IMPRODUCT('Small Signal'!$B$12*'Small Signal'!$B$14*('Small Signal'!$B$15+'Small Signal'!$B$39),IMPOWER(M195,2)),IMSUM(IMPRODUCT(M195,('Small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-0.0000984407144864676-0.000830909227005102i</v>
      </c>
      <c r="S195" s="195">
        <f t="shared" ref="S195:S212" si="123">AP195</f>
        <v>-66.088676839429993</v>
      </c>
      <c r="T195" s="195">
        <f t="shared" ref="T195:T212" si="124">AQ195</f>
        <v>-164.57579474002497</v>
      </c>
      <c r="U195" s="195" t="str">
        <f>IMDIV(IMSUM('Small Signal'!$B$75,IMPRODUCT(M195,'Small Signal'!$B$76)),IMSUM(IMPRODUCT('Small Signal'!$B$79,IMPOWER(M195,2)),IMSUM(IMPRODUCT(M195,'Small Signal'!$B$78),'Small Signal'!$B$77)))</f>
        <v>-0.0000607032310898279-0.000443940653806119i</v>
      </c>
      <c r="V195" s="195">
        <f t="shared" si="101"/>
        <v>-66.973051041767988</v>
      </c>
      <c r="W195" s="195">
        <f t="shared" si="102"/>
        <v>-97.786181540542032</v>
      </c>
      <c r="X195" s="195" t="str">
        <f>IMPRODUCT(IMDIV(IMSUM(IMPRODUCT(M195,'Small Signal'!$B$58*'Small Signal'!$B$6*'Small Signal'!$B$51*'Small Signal'!$B$7*'Small Signal'!$B$8),'Small Signal'!$B$58*'Small Signal'!$B$6*'Small Signal'!$B$51),IMSUM(IMSUM(IMPRODUCT(M195,('Small Signal'!$B$5+'Small Signal'!$B$6)*('Small Signal'!$B$57*'Small Signal'!$B$58)+'Small Signal'!$B$5*'Small Signal'!$B$58*('Small Signal'!$B$8+'Small Signal'!$B$9)+'Small Signal'!$B$6*'Small Signal'!$B$58*('Small Signal'!$B$8+'Small Signal'!$B$9)+'Small Signal'!$B$7*'Small Signal'!$B$8*('Small Signal'!$B$5+'Small Signal'!$B$6)),'Small Signal'!$B$6+'Small Signal'!$B$5),IMPRODUCT(IMPOWER(M195,2),'Small Signal'!$B$57*'Small Signal'!$B$58*'Small Signal'!$B$8*'Small Signal'!$B$7*('Small Signal'!$B$5+'Small Signal'!$B$6)+('Small Signal'!$B$5+'Small Signal'!$B$6)*('Small Signal'!$B$9*'Small Signal'!$B$8*'Small Signal'!$B$58*'Small Signal'!$B$7)))),-1)</f>
        <v>-0.0746647898752061+0.705434243110207i</v>
      </c>
      <c r="Y195" s="195">
        <f t="shared" si="103"/>
        <v>3.9819719925923818</v>
      </c>
      <c r="Z195" s="195">
        <f t="shared" si="104"/>
        <v>99.725162485055833</v>
      </c>
      <c r="AA195" s="195" t="str">
        <f t="shared" si="105"/>
        <v>2.22497401141508+0.143232930176542i</v>
      </c>
      <c r="AB195" s="195" t="str">
        <f t="shared" si="106"/>
        <v>0.000333451572406152-0.000710249150774842i</v>
      </c>
      <c r="AC195" s="192">
        <f t="shared" si="107"/>
        <v>-62.106704846837602</v>
      </c>
      <c r="AD195" s="195">
        <f t="shared" si="108"/>
        <v>-64.850632254969128</v>
      </c>
      <c r="AE195" s="195" t="str">
        <f t="shared" si="109"/>
        <v>0.000317703333097638-9.67540224470124E-06i</v>
      </c>
      <c r="AF195" s="192">
        <f t="shared" si="110"/>
        <v>-69.955538542672414</v>
      </c>
      <c r="AG195" s="195">
        <f t="shared" si="111"/>
        <v>-1.7443582405249305</v>
      </c>
      <c r="AI195" s="195" t="str">
        <f t="shared" si="112"/>
        <v>0.002-0.000293397765963278i</v>
      </c>
      <c r="AJ195" s="195">
        <f t="shared" si="113"/>
        <v>0.22500000000000001</v>
      </c>
      <c r="AK195" s="195" t="str">
        <f t="shared" si="114"/>
        <v>0.0375-0.586795531926557i</v>
      </c>
      <c r="AL195" s="195" t="str">
        <f t="shared" si="115"/>
        <v>0.00198037433672949-0.000294644987962201i</v>
      </c>
      <c r="AM195" s="195" t="str">
        <f t="shared" si="116"/>
        <v>0.143011607495336-0.328700420429132i</v>
      </c>
      <c r="AN195" s="195" t="str">
        <f t="shared" si="117"/>
        <v>0.006+23.475826679958i</v>
      </c>
      <c r="AO195" s="195" t="str">
        <f t="shared" si="118"/>
        <v>-0.000478228651788833-0.000131943503864555i</v>
      </c>
      <c r="AP195" s="195">
        <f t="shared" ref="AP195:AP211" si="125">20*LOG(IMABS(AO195))</f>
        <v>-66.088676839429993</v>
      </c>
      <c r="AQ195" s="195">
        <f t="shared" ref="AQ195:AQ211" si="126">(180/PI())*IMARGUMENT(AO195)</f>
        <v>-164.57579474002497</v>
      </c>
      <c r="AS195" s="195" t="str">
        <f t="shared" si="119"/>
        <v>0.140497339026591-0.331349046747129i</v>
      </c>
      <c r="AT195" s="195" t="str">
        <f t="shared" si="120"/>
        <v>-0.000481437375190568-0.000127945520533343i</v>
      </c>
      <c r="AU195" s="195">
        <f t="shared" ref="AU195:AU212" si="127">20*LOG(IMABS(AT195))</f>
        <v>-66.052822159265887</v>
      </c>
      <c r="AV195" s="195">
        <f t="shared" ref="AV195:AV212" si="128">(180/PI())*IMARGUMENT(AT195)</f>
        <v>-165.11723496419077</v>
      </c>
    </row>
    <row r="196" spans="6:48" x14ac:dyDescent="0.2">
      <c r="F196" s="195">
        <v>194</v>
      </c>
      <c r="G196" s="210">
        <f t="shared" si="97"/>
        <v>93.945049327115456</v>
      </c>
      <c r="H196" s="210">
        <f t="shared" si="98"/>
        <v>91.104457687713818</v>
      </c>
      <c r="I196" s="196">
        <f t="shared" si="99"/>
        <v>0</v>
      </c>
      <c r="J196" s="195">
        <f t="shared" si="121"/>
        <v>0</v>
      </c>
      <c r="K196" s="195">
        <f t="shared" si="122"/>
        <v>0</v>
      </c>
      <c r="L196" s="195">
        <f>10^('Small Signal'!F196/30)</f>
        <v>2928644.5646252413</v>
      </c>
      <c r="M196" s="195" t="str">
        <f t="shared" si="100"/>
        <v>18401216.4984047i</v>
      </c>
      <c r="N196" s="195">
        <f>IF(D$32=1, IF(AND('Small Signal'!$B$62&gt;=1,FCCM=0),V196+0,S196+0), 0)</f>
        <v>-67.350904437600704</v>
      </c>
      <c r="O196" s="195">
        <f>IF(D$32=1, IF(AND('Small Signal'!$B$62&gt;=1,FCCM=0),W196,T196), 0)</f>
        <v>-165.62242304335192</v>
      </c>
      <c r="P196" s="195">
        <f>IF(AND('Small Signal'!$B$62&gt;=1,FCCM=0),AF196+0,AC196+0)</f>
        <v>-64.02172805832889</v>
      </c>
      <c r="Q196" s="195">
        <f>IF(AND('Small Signal'!$B$62&gt;=1,FCCM=0),AG196,AD196)</f>
        <v>-66.608979226413481</v>
      </c>
      <c r="R196" s="195" t="str">
        <f>IMDIV(IMSUM('Small Signal'!$B$2*'Small Signal'!$B$39*'Small Signal'!$B$63,IMPRODUCT(M196,'Small Signal'!$B$2*'Small Signal'!$B$39*'Small Signal'!$B$63*'Small Signal'!$B$14*'Small Signal'!$B$15)),IMSUM(IMPRODUCT('Small Signal'!$B$12*'Small Signal'!$B$14*('Small Signal'!$B$15+'Small Signal'!$B$39),IMPOWER(M196,2)),IMSUM(IMPRODUCT(M196,('Small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-0.0000844410113861596-0.000769155808952851i</v>
      </c>
      <c r="S196" s="195">
        <f t="shared" si="123"/>
        <v>-67.350904437600704</v>
      </c>
      <c r="T196" s="195">
        <f t="shared" si="124"/>
        <v>-165.62242304335192</v>
      </c>
      <c r="U196" s="195" t="str">
        <f>IMDIV(IMSUM('Small Signal'!$B$75,IMPRODUCT(M196,'Small Signal'!$B$76)),IMSUM(IMPRODUCT('Small Signal'!$B$79,IMPOWER(M196,2)),IMSUM(IMPRODUCT(M196,'Small Signal'!$B$78),'Small Signal'!$B$77)))</f>
        <v>-0.0000520654727532218-0.000411062389410904i</v>
      </c>
      <c r="V196" s="195">
        <f t="shared" si="101"/>
        <v>-67.652724498128819</v>
      </c>
      <c r="W196" s="195">
        <f t="shared" si="102"/>
        <v>-97.218687481449308</v>
      </c>
      <c r="X196" s="195" t="str">
        <f>IMPRODUCT(IMDIV(IMSUM(IMPRODUCT(M196,'Small Signal'!$B$58*'Small Signal'!$B$6*'Small Signal'!$B$51*'Small Signal'!$B$7*'Small Signal'!$B$8),'Small Signal'!$B$58*'Small Signal'!$B$6*'Small Signal'!$B$51),IMSUM(IMSUM(IMPRODUCT(M196,('Small Signal'!$B$5+'Small Signal'!$B$6)*('Small Signal'!$B$57*'Small Signal'!$B$58)+'Small Signal'!$B$5*'Small Signal'!$B$58*('Small Signal'!$B$8+'Small Signal'!$B$9)+'Small Signal'!$B$6*'Small Signal'!$B$58*('Small Signal'!$B$8+'Small Signal'!$B$9)+'Small Signal'!$B$7*'Small Signal'!$B$8*('Small Signal'!$B$5+'Small Signal'!$B$6)),'Small Signal'!$B$6+'Small Signal'!$B$5),IMPRODUCT(IMPOWER(M196,2),'Small Signal'!$B$57*'Small Signal'!$B$58*'Small Signal'!$B$8*'Small Signal'!$B$7*('Small Signal'!$B$5+'Small Signal'!$B$6)+('Small Signal'!$B$5+'Small Signal'!$B$6)*('Small Signal'!$B$9*'Small Signal'!$B$8*'Small Signal'!$B$58*'Small Signal'!$B$7)))),-1)</f>
        <v>-0.0641460777751011+0.654373745853629i</v>
      </c>
      <c r="Y196" s="195">
        <f t="shared" si="103"/>
        <v>3.3291763792718072</v>
      </c>
      <c r="Z196" s="195">
        <f t="shared" si="104"/>
        <v>99.013443816938448</v>
      </c>
      <c r="AA196" s="195" t="str">
        <f t="shared" si="105"/>
        <v>2.22732967465836+0.132905790554386i</v>
      </c>
      <c r="AB196" s="195" t="str">
        <f t="shared" si="106"/>
        <v>0.000249866793136264-0.00057765644826843i</v>
      </c>
      <c r="AC196" s="192">
        <f t="shared" si="107"/>
        <v>-64.02172805832889</v>
      </c>
      <c r="AD196" s="195">
        <f t="shared" si="108"/>
        <v>-66.608979226413481</v>
      </c>
      <c r="AE196" s="195" t="str">
        <f t="shared" si="109"/>
        <v>0.000272328231402982-7.70223843359506E-06i</v>
      </c>
      <c r="AF196" s="192">
        <f t="shared" si="110"/>
        <v>-71.294674052000005</v>
      </c>
      <c r="AG196" s="195">
        <f t="shared" si="111"/>
        <v>-1.6200602445912156</v>
      </c>
      <c r="AI196" s="195" t="str">
        <f t="shared" si="112"/>
        <v>0.002-0.00027172116584974i</v>
      </c>
      <c r="AJ196" s="195">
        <f t="shared" si="113"/>
        <v>0.22500000000000001</v>
      </c>
      <c r="AK196" s="195" t="str">
        <f t="shared" si="114"/>
        <v>0.0375-0.543442331699481i</v>
      </c>
      <c r="AL196" s="195" t="str">
        <f t="shared" si="115"/>
        <v>0.00198024884732738-0.000273875024814562i</v>
      </c>
      <c r="AM196" s="195" t="str">
        <f t="shared" si="116"/>
        <v>0.125503122861393-0.311470440457433i</v>
      </c>
      <c r="AN196" s="195" t="str">
        <f t="shared" si="117"/>
        <v>0.006+25.3486145641289i</v>
      </c>
      <c r="AO196" s="195" t="str">
        <f t="shared" si="118"/>
        <v>-0.000415561491640194-0.000106524719700868i</v>
      </c>
      <c r="AP196" s="195">
        <f t="shared" si="125"/>
        <v>-67.350904437600704</v>
      </c>
      <c r="AQ196" s="195">
        <f t="shared" si="126"/>
        <v>-165.62242304335192</v>
      </c>
      <c r="AS196" s="195" t="str">
        <f t="shared" si="119"/>
        <v>0.123175156320588-0.313670793107631i</v>
      </c>
      <c r="AT196" s="195" t="str">
        <f t="shared" si="120"/>
        <v>-0.000418002756020353-0.000103176801323686i</v>
      </c>
      <c r="AU196" s="195">
        <f t="shared" si="127"/>
        <v>-67.319564351655416</v>
      </c>
      <c r="AV196" s="195">
        <f t="shared" si="128"/>
        <v>-166.13467467517359</v>
      </c>
    </row>
    <row r="197" spans="6:48" x14ac:dyDescent="0.2">
      <c r="F197" s="195">
        <v>195</v>
      </c>
      <c r="G197" s="210">
        <f t="shared" si="97"/>
        <v>93.237544538411996</v>
      </c>
      <c r="H197" s="210">
        <f t="shared" si="98"/>
        <v>90.605181882105441</v>
      </c>
      <c r="I197" s="196">
        <f t="shared" si="99"/>
        <v>0</v>
      </c>
      <c r="J197" s="195">
        <f t="shared" si="121"/>
        <v>0</v>
      </c>
      <c r="K197" s="195">
        <f t="shared" si="122"/>
        <v>0</v>
      </c>
      <c r="L197" s="195">
        <f>10^('Small Signal'!F197/30)</f>
        <v>3162277.6601683851</v>
      </c>
      <c r="M197" s="195" t="str">
        <f t="shared" si="100"/>
        <v>19869176.5315922i</v>
      </c>
      <c r="N197" s="195">
        <f>IF(D$32=1, IF(AND('Small Signal'!$B$62&gt;=1,FCCM=0),V197+0,S197+0), 0)</f>
        <v>-68.622080908825012</v>
      </c>
      <c r="O197" s="195">
        <f>IF(D$32=1, IF(AND('Small Signal'!$B$62&gt;=1,FCCM=0),W197,T197), 0)</f>
        <v>-166.6168772327382</v>
      </c>
      <c r="P197" s="195">
        <f>IF(AND('Small Signal'!$B$62&gt;=1,FCCM=0),AF197+0,AC197+0)</f>
        <v>-65.947652225772487</v>
      </c>
      <c r="Q197" s="195">
        <f>IF(AND('Small Signal'!$B$62&gt;=1,FCCM=0),AG197,AD197)</f>
        <v>-68.263954324985406</v>
      </c>
      <c r="R197" s="195" t="str">
        <f>IMDIV(IMSUM('Small Signal'!$B$2*'Small Signal'!$B$39*'Small Signal'!$B$63,IMPRODUCT(M197,'Small Signal'!$B$2*'Small Signal'!$B$39*'Small Signal'!$B$63*'Small Signal'!$B$14*'Small Signal'!$B$15)),IMSUM(IMPRODUCT('Small Signal'!$B$12*'Small Signal'!$B$14*('Small Signal'!$B$15+'Small Signal'!$B$39),IMPOWER(M197,2)),IMSUM(IMPRODUCT(M197,('Small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-0.0000724311944769525-0.000712039786609778i</v>
      </c>
      <c r="S197" s="195">
        <f t="shared" si="123"/>
        <v>-68.622080908825012</v>
      </c>
      <c r="T197" s="195">
        <f t="shared" si="124"/>
        <v>-166.6168772327382</v>
      </c>
      <c r="U197" s="195" t="str">
        <f>IMDIV(IMSUM('Small Signal'!$B$75,IMPRODUCT(M197,'Small Signal'!$B$76)),IMSUM(IMPRODUCT('Small Signal'!$B$79,IMPOWER(M197,2)),IMSUM(IMPRODUCT(M197,'Small Signal'!$B$78),'Small Signal'!$B$77)))</f>
        <v>-0.0000446567547096298-0.00038062953510601i</v>
      </c>
      <c r="V197" s="195">
        <f t="shared" si="101"/>
        <v>-68.330578309729205</v>
      </c>
      <c r="W197" s="195">
        <f t="shared" si="102"/>
        <v>-96.691545522352811</v>
      </c>
      <c r="X197" s="195" t="str">
        <f>IMPRODUCT(IMDIV(IMSUM(IMPRODUCT(M197,'Small Signal'!$B$58*'Small Signal'!$B$6*'Small Signal'!$B$51*'Small Signal'!$B$7*'Small Signal'!$B$8),'Small Signal'!$B$58*'Small Signal'!$B$6*'Small Signal'!$B$51),IMSUM(IMSUM(IMPRODUCT(M197,('Small Signal'!$B$5+'Small Signal'!$B$6)*('Small Signal'!$B$57*'Small Signal'!$B$58)+'Small Signal'!$B$5*'Small Signal'!$B$58*('Small Signal'!$B$8+'Small Signal'!$B$9)+'Small Signal'!$B$6*'Small Signal'!$B$58*('Small Signal'!$B$8+'Small Signal'!$B$9)+'Small Signal'!$B$7*'Small Signal'!$B$8*('Small Signal'!$B$5+'Small Signal'!$B$6)),'Small Signal'!$B$6+'Small Signal'!$B$5),IMPRODUCT(IMPOWER(M197,2),'Small Signal'!$B$57*'Small Signal'!$B$58*'Small Signal'!$B$8*'Small Signal'!$B$7*('Small Signal'!$B$5+'Small Signal'!$B$6)+('Small Signal'!$B$5+'Small Signal'!$B$6)*('Small Signal'!$B$9*'Small Signal'!$B$8*'Small Signal'!$B$58*'Small Signal'!$B$7)))),-1)</f>
        <v>-0.0550963374483797+0.606870683830766i</v>
      </c>
      <c r="Y197" s="195">
        <f t="shared" si="103"/>
        <v>2.6744286830525308</v>
      </c>
      <c r="Z197" s="195">
        <f t="shared" si="104"/>
        <v>98.352922907752841</v>
      </c>
      <c r="AA197" s="195" t="str">
        <f t="shared" si="105"/>
        <v>2.22935734712918+0.123289893096591i</v>
      </c>
      <c r="AB197" s="195" t="str">
        <f t="shared" si="106"/>
        <v>0.000186727253704048-0.000468366954563656i</v>
      </c>
      <c r="AC197" s="192">
        <f t="shared" si="107"/>
        <v>-65.947652225772487</v>
      </c>
      <c r="AD197" s="195">
        <f t="shared" si="108"/>
        <v>-68.263954324985406</v>
      </c>
      <c r="AE197" s="195" t="str">
        <f t="shared" si="109"/>
        <v>0.000233453329882802-0.0000061295819592752i</v>
      </c>
      <c r="AF197" s="192">
        <f t="shared" si="110"/>
        <v>-72.63300561411971</v>
      </c>
      <c r="AG197" s="195">
        <f t="shared" si="111"/>
        <v>-1.50402012351435</v>
      </c>
      <c r="AI197" s="195" t="str">
        <f t="shared" si="112"/>
        <v>0.002-0.000251646060522435i</v>
      </c>
      <c r="AJ197" s="195">
        <f t="shared" si="113"/>
        <v>0.22500000000000001</v>
      </c>
      <c r="AK197" s="195" t="str">
        <f t="shared" si="114"/>
        <v>0.0375-0.50329212104487i</v>
      </c>
      <c r="AL197" s="195" t="str">
        <f t="shared" si="115"/>
        <v>0.00198011899898887-0.000254717490978258i</v>
      </c>
      <c r="AM197" s="195" t="str">
        <f t="shared" si="116"/>
        <v>0.109826545145479-0.294308604876131i</v>
      </c>
      <c r="AN197" s="195" t="str">
        <f t="shared" si="117"/>
        <v>0.006+27.3708044057648i</v>
      </c>
      <c r="AO197" s="195" t="str">
        <f t="shared" si="118"/>
        <v>-0.000360528169992466-0.0000857777075310951i</v>
      </c>
      <c r="AP197" s="195">
        <f t="shared" si="125"/>
        <v>-68.622080908825012</v>
      </c>
      <c r="AQ197" s="195">
        <f t="shared" si="126"/>
        <v>-166.6168772327382</v>
      </c>
      <c r="AS197" s="195" t="str">
        <f t="shared" si="119"/>
        <v>0.107694333641204-0.296126413439663i</v>
      </c>
      <c r="AT197" s="195" t="str">
        <f t="shared" si="120"/>
        <v>-0.000362377224741913-0.0000829942735855931i</v>
      </c>
      <c r="AU197" s="195">
        <f t="shared" si="127"/>
        <v>-68.594752942643481</v>
      </c>
      <c r="AV197" s="195">
        <f t="shared" si="128"/>
        <v>-167.1001788154876</v>
      </c>
    </row>
    <row r="198" spans="6:48" x14ac:dyDescent="0.2">
      <c r="F198" s="195">
        <v>196</v>
      </c>
      <c r="G198" s="210">
        <f t="shared" si="97"/>
        <v>92.581113865501166</v>
      </c>
      <c r="H198" s="210">
        <f t="shared" si="98"/>
        <v>90.141930990067408</v>
      </c>
      <c r="I198" s="196">
        <f t="shared" si="99"/>
        <v>0</v>
      </c>
      <c r="J198" s="195">
        <f t="shared" si="121"/>
        <v>0</v>
      </c>
      <c r="K198" s="195">
        <f t="shared" si="122"/>
        <v>0</v>
      </c>
      <c r="L198" s="195">
        <f>10^('Small Signal'!F198/30)</f>
        <v>3414548.8738336028</v>
      </c>
      <c r="M198" s="195" t="str">
        <f t="shared" si="100"/>
        <v>21454243.3147179i</v>
      </c>
      <c r="N198" s="195">
        <f>IF(D$32=1, IF(AND('Small Signal'!$B$62&gt;=1,FCCM=0),V198+0,S198+0), 0)</f>
        <v>-69.901250456500577</v>
      </c>
      <c r="O198" s="195">
        <f>IF(D$32=1, IF(AND('Small Signal'!$B$62&gt;=1,FCCM=0),W198,T198), 0)</f>
        <v>-167.55913485401069</v>
      </c>
      <c r="P198" s="195">
        <f>IF(AND('Small Signal'!$B$62&gt;=1,FCCM=0),AF198+0,AC198+0)</f>
        <v>-67.88324948141846</v>
      </c>
      <c r="Q198" s="195">
        <f>IF(AND('Small Signal'!$B$62&gt;=1,FCCM=0),AG198,AD198)</f>
        <v>-69.819036395478435</v>
      </c>
      <c r="R198" s="195" t="str">
        <f>IMDIV(IMSUM('Small Signal'!$B$2*'Small Signal'!$B$39*'Small Signal'!$B$63,IMPRODUCT(M198,'Small Signal'!$B$2*'Small Signal'!$B$39*'Small Signal'!$B$63*'Small Signal'!$B$14*'Small Signal'!$B$15)),IMSUM(IMPRODUCT('Small Signal'!$B$12*'Small Signal'!$B$14*('Small Signal'!$B$15+'Small Signal'!$B$39),IMPOWER(M198,2)),IMSUM(IMPRODUCT(M198,('Small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-0.000062128710050228-0.000659203139634904i</v>
      </c>
      <c r="S198" s="195">
        <f t="shared" si="123"/>
        <v>-69.901250456500577</v>
      </c>
      <c r="T198" s="195">
        <f t="shared" si="124"/>
        <v>-167.55913485401069</v>
      </c>
      <c r="U198" s="195" t="str">
        <f>IMDIV(IMSUM('Small Signal'!$B$75,IMPRODUCT(M198,'Small Signal'!$B$76)),IMSUM(IMPRODUCT('Small Signal'!$B$79,IMPOWER(M198,2)),IMSUM(IMPRODUCT(M198,'Small Signal'!$B$78),'Small Signal'!$B$77)))</f>
        <v>-0.00003830221864602-0.00035245806417127i</v>
      </c>
      <c r="V198" s="195">
        <f t="shared" si="101"/>
        <v>-69.006863271791502</v>
      </c>
      <c r="W198" s="195">
        <f t="shared" si="102"/>
        <v>-96.202091826958295</v>
      </c>
      <c r="X198" s="195" t="str">
        <f>IMPRODUCT(IMDIV(IMSUM(IMPRODUCT(M198,'Small Signal'!$B$58*'Small Signal'!$B$6*'Small Signal'!$B$51*'Small Signal'!$B$7*'Small Signal'!$B$8),'Small Signal'!$B$58*'Small Signal'!$B$6*'Small Signal'!$B$51),IMSUM(IMSUM(IMPRODUCT(M198,('Small Signal'!$B$5+'Small Signal'!$B$6)*('Small Signal'!$B$57*'Small Signal'!$B$58)+'Small Signal'!$B$5*'Small Signal'!$B$58*('Small Signal'!$B$8+'Small Signal'!$B$9)+'Small Signal'!$B$6*'Small Signal'!$B$58*('Small Signal'!$B$8+'Small Signal'!$B$9)+'Small Signal'!$B$7*'Small Signal'!$B$8*('Small Signal'!$B$5+'Small Signal'!$B$6)),'Small Signal'!$B$6+'Small Signal'!$B$5),IMPRODUCT(IMPOWER(M198,2),'Small Signal'!$B$57*'Small Signal'!$B$58*'Small Signal'!$B$8*'Small Signal'!$B$7*('Small Signal'!$B$5+'Small Signal'!$B$6)+('Small Signal'!$B$5+'Small Signal'!$B$6)*('Small Signal'!$B$9*'Small Signal'!$B$8*'Small Signal'!$B$58*'Small Signal'!$B$7)))),-1)</f>
        <v>-0.0473138109501649+0.562705624264803i</v>
      </c>
      <c r="Y198" s="195">
        <f t="shared" si="103"/>
        <v>2.0180009750821064</v>
      </c>
      <c r="Z198" s="195">
        <f t="shared" si="104"/>
        <v>97.740098458532188</v>
      </c>
      <c r="AA198" s="195" t="str">
        <f t="shared" si="105"/>
        <v>2.23110181861975+0.114343103182797i</v>
      </c>
      <c r="AB198" s="195" t="str">
        <f t="shared" si="106"/>
        <v>0.00013920007203493-0.000378722961404943i</v>
      </c>
      <c r="AC198" s="192">
        <f t="shared" si="107"/>
        <v>-67.88324948141846</v>
      </c>
      <c r="AD198" s="195">
        <f t="shared" si="108"/>
        <v>-69.819036395478435</v>
      </c>
      <c r="AE198" s="195" t="str">
        <f t="shared" si="109"/>
        <v>0.000200142358958648-0.0000048767396378751i</v>
      </c>
      <c r="AF198" s="192">
        <f t="shared" si="110"/>
        <v>-73.970641990337185</v>
      </c>
      <c r="AG198" s="195">
        <f t="shared" si="111"/>
        <v>-1.3958130694728315</v>
      </c>
      <c r="AI198" s="195" t="str">
        <f t="shared" si="112"/>
        <v>0.002-0.000233054129509659i</v>
      </c>
      <c r="AJ198" s="195">
        <f t="shared" si="113"/>
        <v>0.22500000000000001</v>
      </c>
      <c r="AK198" s="195" t="str">
        <f t="shared" si="114"/>
        <v>0.0375-0.466108259019318i</v>
      </c>
      <c r="AL198" s="195" t="str">
        <f t="shared" si="115"/>
        <v>0.00197998179399818-0.000237059032480993i</v>
      </c>
      <c r="AM198" s="195" t="str">
        <f t="shared" si="116"/>
        <v>0.0958652810080859-0.277389693657559i</v>
      </c>
      <c r="AN198" s="195" t="str">
        <f t="shared" si="117"/>
        <v>0.006+29.5543147702747i</v>
      </c>
      <c r="AO198" s="195" t="str">
        <f t="shared" si="118"/>
        <v>-0.000312333177035315-0.0000689044737034907i</v>
      </c>
      <c r="AP198" s="195">
        <f t="shared" si="125"/>
        <v>-69.901250456500577</v>
      </c>
      <c r="AQ198" s="195">
        <f t="shared" si="126"/>
        <v>-167.55913485401069</v>
      </c>
      <c r="AS198" s="195" t="str">
        <f t="shared" si="119"/>
        <v>0.0939303673167591-0.278884031082193i</v>
      </c>
      <c r="AT198" s="195" t="str">
        <f t="shared" si="120"/>
        <v>-0.000313728063600499-0.0000666047567615863i</v>
      </c>
      <c r="AU198" s="195">
        <f t="shared" si="127"/>
        <v>-69.877471826057146</v>
      </c>
      <c r="AV198" s="195">
        <f t="shared" si="128"/>
        <v>-168.01401471901406</v>
      </c>
    </row>
    <row r="199" spans="6:48" x14ac:dyDescent="0.2">
      <c r="F199" s="195">
        <v>197</v>
      </c>
      <c r="G199" s="210">
        <f t="shared" si="97"/>
        <v>91.972227181528481</v>
      </c>
      <c r="H199" s="210">
        <f t="shared" si="98"/>
        <v>89.712218398213139</v>
      </c>
      <c r="I199" s="196">
        <f t="shared" si="99"/>
        <v>0</v>
      </c>
      <c r="J199" s="195">
        <f t="shared" si="121"/>
        <v>0</v>
      </c>
      <c r="K199" s="195">
        <f t="shared" si="122"/>
        <v>0</v>
      </c>
      <c r="L199" s="195">
        <f>10^('Small Signal'!F199/30)</f>
        <v>3686945.0645195777</v>
      </c>
      <c r="M199" s="195" t="str">
        <f t="shared" si="100"/>
        <v>23165759.0577677i</v>
      </c>
      <c r="N199" s="195">
        <f>IF(D$32=1, IF(AND('Small Signal'!$B$62&gt;=1,FCCM=0),V199+0,S199+0), 0)</f>
        <v>-71.187526977517493</v>
      </c>
      <c r="O199" s="195">
        <f>IF(D$32=1, IF(AND('Small Signal'!$B$62&gt;=1,FCCM=0),W199,T199), 0)</f>
        <v>-168.44983009504153</v>
      </c>
      <c r="P199" s="195">
        <f>IF(AND('Small Signal'!$B$62&gt;=1,FCCM=0),AF199+0,AC199+0)</f>
        <v>-69.827398874980815</v>
      </c>
      <c r="Q199" s="195">
        <f>IF(AND('Small Signal'!$B$62&gt;=1,FCCM=0),AG199,AD199)</f>
        <v>-71.27815895985961</v>
      </c>
      <c r="R199" s="195" t="str">
        <f>IMDIV(IMSUM('Small Signal'!$B$2*'Small Signal'!$B$39*'Small Signal'!$B$63,IMPRODUCT(M199,'Small Signal'!$B$2*'Small Signal'!$B$39*'Small Signal'!$B$63*'Small Signal'!$B$14*'Small Signal'!$B$15)),IMSUM(IMPRODUCT('Small Signal'!$B$12*'Small Signal'!$B$14*('Small Signal'!$B$15+'Small Signal'!$B$39),IMPOWER(M199,2)),IMSUM(IMPRODUCT(M199,('Small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-0.0000532910504578928-0.000610317461519763i</v>
      </c>
      <c r="S199" s="195">
        <f t="shared" si="123"/>
        <v>-71.187526977517493</v>
      </c>
      <c r="T199" s="195">
        <f t="shared" si="124"/>
        <v>-168.44983009504153</v>
      </c>
      <c r="U199" s="195" t="str">
        <f>IMDIV(IMSUM('Small Signal'!$B$75,IMPRODUCT(M199,'Small Signal'!$B$76)),IMSUM(IMPRODUCT('Small Signal'!$B$79,IMPOWER(M199,2)),IMSUM(IMPRODUCT(M199,'Small Signal'!$B$78),'Small Signal'!$B$77)))</f>
        <v>-0.0000328518789525318-0.000326378236305558i</v>
      </c>
      <c r="V199" s="195">
        <f t="shared" si="101"/>
        <v>-69.681796600510197</v>
      </c>
      <c r="W199" s="195">
        <f t="shared" si="102"/>
        <v>-95.747796126692833</v>
      </c>
      <c r="X199" s="195" t="str">
        <f>IMPRODUCT(IMDIV(IMSUM(IMPRODUCT(M199,'Small Signal'!$B$58*'Small Signal'!$B$6*'Small Signal'!$B$51*'Small Signal'!$B$7*'Small Signal'!$B$8),'Small Signal'!$B$58*'Small Signal'!$B$6*'Small Signal'!$B$51),IMSUM(IMSUM(IMPRODUCT(M199,('Small Signal'!$B$5+'Small Signal'!$B$6)*('Small Signal'!$B$57*'Small Signal'!$B$58)+'Small Signal'!$B$5*'Small Signal'!$B$58*('Small Signal'!$B$8+'Small Signal'!$B$9)+'Small Signal'!$B$6*'Small Signal'!$B$58*('Small Signal'!$B$8+'Small Signal'!$B$9)+'Small Signal'!$B$7*'Small Signal'!$B$8*('Small Signal'!$B$5+'Small Signal'!$B$6)),'Small Signal'!$B$6+'Small Signal'!$B$5),IMPRODUCT(IMPOWER(M199,2),'Small Signal'!$B$57*'Small Signal'!$B$58*'Small Signal'!$B$8*'Small Signal'!$B$7*('Small Signal'!$B$5+'Small Signal'!$B$6)+('Small Signal'!$B$5+'Small Signal'!$B$6)*('Small Signal'!$B$9*'Small Signal'!$B$8*'Small Signal'!$B$58*'Small Signal'!$B$7)))),-1)</f>
        <v>-0.0406235584656379+0.521666679430933i</v>
      </c>
      <c r="Y199" s="195">
        <f t="shared" si="103"/>
        <v>1.3601281025367014</v>
      </c>
      <c r="Z199" s="195">
        <f t="shared" si="104"/>
        <v>97.171671135181924</v>
      </c>
      <c r="AA199" s="195" t="str">
        <f t="shared" si="105"/>
        <v>2.2326019936563+0.106024329363712i</v>
      </c>
      <c r="AB199" s="195" t="str">
        <f t="shared" si="106"/>
        <v>0.000103538046709092-0.000305506451948778i</v>
      </c>
      <c r="AC199" s="192">
        <f t="shared" si="107"/>
        <v>-69.827398874980815</v>
      </c>
      <c r="AD199" s="195">
        <f t="shared" si="108"/>
        <v>-71.27815895985961</v>
      </c>
      <c r="AE199" s="195" t="str">
        <f t="shared" si="109"/>
        <v>0.000171595210997379-0.0000038790852417636i</v>
      </c>
      <c r="AF199" s="192">
        <f t="shared" si="110"/>
        <v>-75.307677920393473</v>
      </c>
      <c r="AG199" s="195">
        <f t="shared" si="111"/>
        <v>-1.2950091274443689</v>
      </c>
      <c r="AI199" s="195" t="str">
        <f t="shared" si="112"/>
        <v>0.002-0.000215835794006648i</v>
      </c>
      <c r="AJ199" s="195">
        <f t="shared" si="113"/>
        <v>0.22500000000000001</v>
      </c>
      <c r="AK199" s="195" t="str">
        <f t="shared" si="114"/>
        <v>0.0375-0.431671588013297i</v>
      </c>
      <c r="AL199" s="195" t="str">
        <f t="shared" si="115"/>
        <v>0.00197983408504119-0.0002207950173375i</v>
      </c>
      <c r="AM199" s="195" t="str">
        <f t="shared" si="116"/>
        <v>0.0834909062759336-0.260856390065713i</v>
      </c>
      <c r="AN199" s="195" t="str">
        <f t="shared" si="117"/>
        <v>0.006+31.9120150285575i</v>
      </c>
      <c r="AO199" s="195" t="str">
        <f t="shared" si="118"/>
        <v>-0.000270233269247602-0.0000552260428981657i</v>
      </c>
      <c r="AP199" s="195">
        <f t="shared" si="125"/>
        <v>-71.187526977517493</v>
      </c>
      <c r="AQ199" s="195">
        <f t="shared" si="126"/>
        <v>-168.44983009504153</v>
      </c>
      <c r="AS199" s="195" t="str">
        <f t="shared" si="119"/>
        <v>0.0817489066424081-0.262079416275921i</v>
      </c>
      <c r="AT199" s="195" t="str">
        <f t="shared" si="120"/>
        <v>-0.000271281762163703-0.0000533362420814358i</v>
      </c>
      <c r="AU199" s="195">
        <f t="shared" si="127"/>
        <v>-71.166875644158111</v>
      </c>
      <c r="AV199" s="195">
        <f t="shared" si="128"/>
        <v>-168.87704549253857</v>
      </c>
    </row>
    <row r="200" spans="6:48" x14ac:dyDescent="0.2">
      <c r="F200" s="195">
        <v>198</v>
      </c>
      <c r="G200" s="210">
        <f t="shared" si="97"/>
        <v>91.407566060625612</v>
      </c>
      <c r="H200" s="210">
        <f t="shared" si="98"/>
        <v>89.313705975309787</v>
      </c>
      <c r="I200" s="196">
        <f t="shared" si="99"/>
        <v>0</v>
      </c>
      <c r="J200" s="195">
        <f t="shared" si="121"/>
        <v>0</v>
      </c>
      <c r="K200" s="195">
        <f t="shared" si="122"/>
        <v>0</v>
      </c>
      <c r="L200" s="195">
        <f>10^('Small Signal'!F200/30)</f>
        <v>3981071.705534976</v>
      </c>
      <c r="M200" s="195" t="str">
        <f t="shared" si="100"/>
        <v>25013811.2470457i</v>
      </c>
      <c r="N200" s="195">
        <f>IF(D$32=1, IF(AND('Small Signal'!$B$62&gt;=1,FCCM=0),V200+0,S200+0), 0)</f>
        <v>-72.480099074488919</v>
      </c>
      <c r="O200" s="195">
        <f>IF(D$32=1, IF(AND('Small Signal'!$B$62&gt;=1,FCCM=0),W200,T200), 0)</f>
        <v>-169.29012422140676</v>
      </c>
      <c r="P200" s="195">
        <f>IF(AND('Small Signal'!$B$62&gt;=1,FCCM=0),AF200+0,AC200+0)</f>
        <v>-71.779086476524455</v>
      </c>
      <c r="Q200" s="195">
        <f>IF(AND('Small Signal'!$B$62&gt;=1,FCCM=0),AG200,AD200)</f>
        <v>-72.645584265548038</v>
      </c>
      <c r="R200" s="195" t="str">
        <f>IMDIV(IMSUM('Small Signal'!$B$2*'Small Signal'!$B$39*'Small Signal'!$B$63,IMPRODUCT(M200,'Small Signal'!$B$2*'Small Signal'!$B$39*'Small Signal'!$B$63*'Small Signal'!$B$14*'Small Signal'!$B$15)),IMSUM(IMPRODUCT('Small Signal'!$B$12*'Small Signal'!$B$14*('Small Signal'!$B$15+'Small Signal'!$B$39),IMPOWER(M200,2)),IMSUM(IMPRODUCT(M200,('Small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-0.0000457100982915699-0.000565081122850278i</v>
      </c>
      <c r="S200" s="195">
        <f t="shared" si="123"/>
        <v>-72.480099074488919</v>
      </c>
      <c r="T200" s="195">
        <f t="shared" si="124"/>
        <v>-169.29012422140676</v>
      </c>
      <c r="U200" s="195" t="str">
        <f>IMDIV(IMSUM('Small Signal'!$B$75,IMPRODUCT(M200,'Small Signal'!$B$76)),IMSUM(IMPRODUCT('Small Signal'!$B$79,IMPOWER(M200,2)),IMSUM(IMPRODUCT(M200,'Small Signal'!$B$78),'Small Signal'!$B$77)))</f>
        <v>-0.0000281770859711588-0.000302233400183336i</v>
      </c>
      <c r="V200" s="195">
        <f t="shared" si="101"/>
        <v>-70.355566169540054</v>
      </c>
      <c r="W200" s="195">
        <f t="shared" si="102"/>
        <v>-95.326264220416007</v>
      </c>
      <c r="X200" s="195" t="str">
        <f>IMPRODUCT(IMDIV(IMSUM(IMPRODUCT(M200,'Small Signal'!$B$58*'Small Signal'!$B$6*'Small Signal'!$B$51*'Small Signal'!$B$7*'Small Signal'!$B$8),'Small Signal'!$B$58*'Small Signal'!$B$6*'Small Signal'!$B$51),IMSUM(IMSUM(IMPRODUCT(M200,('Small Signal'!$B$5+'Small Signal'!$B$6)*('Small Signal'!$B$57*'Small Signal'!$B$58)+'Small Signal'!$B$5*'Small Signal'!$B$58*('Small Signal'!$B$8+'Small Signal'!$B$9)+'Small Signal'!$B$6*'Small Signal'!$B$58*('Small Signal'!$B$8+'Small Signal'!$B$9)+'Small Signal'!$B$7*'Small Signal'!$B$8*('Small Signal'!$B$5+'Small Signal'!$B$6)),'Small Signal'!$B$6+'Small Signal'!$B$5),IMPRODUCT(IMPOWER(M200,2),'Small Signal'!$B$57*'Small Signal'!$B$58*'Small Signal'!$B$8*'Small Signal'!$B$7*('Small Signal'!$B$5+'Small Signal'!$B$6)+('Small Signal'!$B$5+'Small Signal'!$B$6)*('Small Signal'!$B$9*'Small Signal'!$B$8*'Small Signal'!$B$58*'Small Signal'!$B$7)))),-1)</f>
        <v>-0.0348741305497112+0.483550650761647i</v>
      </c>
      <c r="Y200" s="195">
        <f t="shared" si="103"/>
        <v>0.70101259796445703</v>
      </c>
      <c r="Z200" s="195">
        <f t="shared" si="104"/>
        <v>96.644539955858733</v>
      </c>
      <c r="AA200" s="195" t="str">
        <f t="shared" si="105"/>
        <v>2.23389160339377+0.0982938495094163i</v>
      </c>
      <c r="AB200" s="195" t="str">
        <f t="shared" si="106"/>
        <v>0.000076854978738649-0.00024593003549486i</v>
      </c>
      <c r="AC200" s="192">
        <f t="shared" si="107"/>
        <v>-71.779086476524455</v>
      </c>
      <c r="AD200" s="195">
        <f t="shared" si="108"/>
        <v>-72.645584265548038</v>
      </c>
      <c r="AE200" s="195" t="str">
        <f t="shared" si="109"/>
        <v>0.000147127808715226-3.08492120344394E-06i</v>
      </c>
      <c r="AF200" s="192">
        <f t="shared" si="110"/>
        <v>-76.644195746169501</v>
      </c>
      <c r="AG200" s="195">
        <f t="shared" si="111"/>
        <v>-1.2011805981420289</v>
      </c>
      <c r="AI200" s="195" t="str">
        <f t="shared" si="112"/>
        <v>0.002-0.000199889571030106i</v>
      </c>
      <c r="AJ200" s="195">
        <f t="shared" si="113"/>
        <v>0.22500000000000001</v>
      </c>
      <c r="AK200" s="195" t="str">
        <f t="shared" si="114"/>
        <v>0.0375-0.399779142060212i</v>
      </c>
      <c r="AL200" s="195" t="str">
        <f t="shared" si="115"/>
        <v>0.00197967250935345-0.000205828891076631i</v>
      </c>
      <c r="AM200" s="195" t="str">
        <f t="shared" si="116"/>
        <v>0.0725694093266346-0.244821314904602i</v>
      </c>
      <c r="AN200" s="195" t="str">
        <f t="shared" si="117"/>
        <v>0.006+34.457801207665i</v>
      </c>
      <c r="AO200" s="195" t="str">
        <f t="shared" si="118"/>
        <v>-0.000233541094297593-0.0000441697407050088i</v>
      </c>
      <c r="AP200" s="195">
        <f t="shared" si="125"/>
        <v>-72.480099074488919</v>
      </c>
      <c r="AQ200" s="195">
        <f t="shared" si="126"/>
        <v>-169.29012422140676</v>
      </c>
      <c r="AS200" s="195" t="str">
        <f t="shared" si="119"/>
        <v>0.071011729813241-0.24581839868065i</v>
      </c>
      <c r="AT200" s="195" t="str">
        <f t="shared" si="120"/>
        <v>-0.00023432668050413-0.0000426240603954279i</v>
      </c>
      <c r="AU200" s="195">
        <f t="shared" si="127"/>
        <v>-72.462193420894337</v>
      </c>
      <c r="AV200" s="195">
        <f t="shared" si="128"/>
        <v>-169.69060696353438</v>
      </c>
    </row>
    <row r="201" spans="6:48" x14ac:dyDescent="0.2">
      <c r="F201" s="195">
        <v>199</v>
      </c>
      <c r="G201" s="210">
        <f t="shared" si="97"/>
        <v>90.884017945058716</v>
      </c>
      <c r="H201" s="210">
        <f t="shared" si="98"/>
        <v>88.944200112394824</v>
      </c>
      <c r="I201" s="196">
        <f t="shared" si="99"/>
        <v>0</v>
      </c>
      <c r="J201" s="195">
        <f t="shared" si="121"/>
        <v>0</v>
      </c>
      <c r="K201" s="195">
        <f t="shared" si="122"/>
        <v>0</v>
      </c>
      <c r="L201" s="195">
        <f>10^('Small Signal'!F201/30)</f>
        <v>4298662.3470822899</v>
      </c>
      <c r="M201" s="195" t="str">
        <f t="shared" si="100"/>
        <v>27009292.0997136i</v>
      </c>
      <c r="N201" s="195">
        <f>IF(D$32=1, IF(AND('Small Signal'!$B$62&gt;=1,FCCM=0),V201+0,S201+0), 0)</f>
        <v>-73.778231723907027</v>
      </c>
      <c r="O201" s="195">
        <f>IF(D$32=1, IF(AND('Small Signal'!$B$62&gt;=1,FCCM=0),W201,T201), 0)</f>
        <v>-170.08158877592226</v>
      </c>
      <c r="P201" s="195">
        <f>IF(AND('Small Signal'!$B$62&gt;=1,FCCM=0),AF201+0,AC201+0)</f>
        <v>-73.737402733890491</v>
      </c>
      <c r="Q201" s="195">
        <f>IF(AND('Small Signal'!$B$62&gt;=1,FCCM=0),AG201,AD201)</f>
        <v>-73.925792044952843</v>
      </c>
      <c r="R201" s="195" t="str">
        <f>IMDIV(IMSUM('Small Signal'!$B$2*'Small Signal'!$B$39*'Small Signal'!$B$63,IMPRODUCT(M201,'Small Signal'!$B$2*'Small Signal'!$B$39*'Small Signal'!$B$63*'Small Signal'!$B$14*'Small Signal'!$B$15)),IMSUM(IMPRODUCT('Small Signal'!$B$12*'Small Signal'!$B$14*('Small Signal'!$B$15+'Small Signal'!$B$39),IMPOWER(M201,2)),IMSUM(IMPRODUCT(M201,('Small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-0.0000392072640892704-0.000523216777063331i</v>
      </c>
      <c r="S201" s="195">
        <f t="shared" si="123"/>
        <v>-73.778231723907027</v>
      </c>
      <c r="T201" s="195">
        <f t="shared" si="124"/>
        <v>-170.08158877592226</v>
      </c>
      <c r="U201" s="195" t="str">
        <f>IMDIV(IMSUM('Small Signal'!$B$75,IMPRODUCT(M201,'Small Signal'!$B$76)),IMSUM(IMPRODUCT('Small Signal'!$B$79,IMPOWER(M201,2)),IMSUM(IMPRODUCT(M201,'Small Signal'!$B$78),'Small Signal'!$B$77)))</f>
        <v>-0.0000241674918153684-0.000279878913664711i</v>
      </c>
      <c r="V201" s="195">
        <f t="shared" si="101"/>
        <v>-71.028334281130952</v>
      </c>
      <c r="W201" s="195">
        <f t="shared" si="102"/>
        <v>-94.935237943867207</v>
      </c>
      <c r="X201" s="195" t="str">
        <f>IMPRODUCT(IMDIV(IMSUM(IMPRODUCT(M201,'Small Signal'!$B$58*'Small Signal'!$B$6*'Small Signal'!$B$51*'Small Signal'!$B$7*'Small Signal'!$B$8),'Small Signal'!$B$58*'Small Signal'!$B$6*'Small Signal'!$B$51),IMSUM(IMSUM(IMPRODUCT(M201,('Small Signal'!$B$5+'Small Signal'!$B$6)*('Small Signal'!$B$57*'Small Signal'!$B$58)+'Small Signal'!$B$5*'Small Signal'!$B$58*('Small Signal'!$B$8+'Small Signal'!$B$9)+'Small Signal'!$B$6*'Small Signal'!$B$58*('Small Signal'!$B$8+'Small Signal'!$B$9)+'Small Signal'!$B$7*'Small Signal'!$B$8*('Small Signal'!$B$5+'Small Signal'!$B$6)),'Small Signal'!$B$6+'Small Signal'!$B$5),IMPRODUCT(IMPOWER(M201,2),'Small Signal'!$B$57*'Small Signal'!$B$58*'Small Signal'!$B$8*'Small Signal'!$B$7*('Small Signal'!$B$5+'Small Signal'!$B$6)+('Small Signal'!$B$5+'Small Signal'!$B$6)*('Small Signal'!$B$9*'Small Signal'!$B$8*'Small Signal'!$B$58*'Small Signal'!$B$7)))),-1)</f>
        <v>-0.0299345890635939+0.448163763745264i</v>
      </c>
      <c r="Y201" s="195">
        <f t="shared" si="103"/>
        <v>4.0828990016518851E-2</v>
      </c>
      <c r="Z201" s="195">
        <f t="shared" si="104"/>
        <v>96.155796730969428</v>
      </c>
      <c r="AA201" s="195" t="str">
        <f t="shared" si="105"/>
        <v>2.23499984812531+0.0911135369226757i</v>
      </c>
      <c r="AB201" s="195" t="str">
        <f t="shared" si="106"/>
        <v>0.0000569409596347113-0.00019761040834703i</v>
      </c>
      <c r="AC201" s="192">
        <f t="shared" si="107"/>
        <v>-73.737402733890491</v>
      </c>
      <c r="AD201" s="195">
        <f t="shared" si="108"/>
        <v>-73.925792044952843</v>
      </c>
      <c r="AE201" s="195" t="str">
        <f t="shared" si="109"/>
        <v>0.000126155031277103-2.45293382414017E-06i</v>
      </c>
      <c r="AF201" s="192">
        <f t="shared" si="110"/>
        <v>-77.980266897810267</v>
      </c>
      <c r="AG201" s="195">
        <f t="shared" si="111"/>
        <v>-1.1139076013955198</v>
      </c>
      <c r="AI201" s="195" t="str">
        <f t="shared" si="112"/>
        <v>0.002-0.000185121475288611i</v>
      </c>
      <c r="AJ201" s="195">
        <f t="shared" si="113"/>
        <v>0.22500000000000001</v>
      </c>
      <c r="AK201" s="195" t="str">
        <f t="shared" si="114"/>
        <v>0.0375-0.370242950577221i</v>
      </c>
      <c r="AL201" s="195" t="str">
        <f t="shared" si="115"/>
        <v>0.00197949342070392-0.000192071573165733i</v>
      </c>
      <c r="AM201" s="195" t="str">
        <f t="shared" si="116"/>
        <v>0.0629661856263849-0.229369863771403i</v>
      </c>
      <c r="AN201" s="195" t="str">
        <f t="shared" si="117"/>
        <v>0.006+37.2066778924626i</v>
      </c>
      <c r="AO201" s="195" t="str">
        <f t="shared" si="118"/>
        <v>-0.000201626896378102-0.0000352562939801859i</v>
      </c>
      <c r="AP201" s="195">
        <f t="shared" si="125"/>
        <v>-73.778231723907027</v>
      </c>
      <c r="AQ201" s="195">
        <f t="shared" si="126"/>
        <v>-170.08158877592226</v>
      </c>
      <c r="AS201" s="195" t="str">
        <f t="shared" si="119"/>
        <v>0.0615814471622958-0.23017996367191i</v>
      </c>
      <c r="AT201" s="195" t="str">
        <f t="shared" si="120"/>
        <v>-0.000202213803004084-0.0000339971995951669i</v>
      </c>
      <c r="AU201" s="195">
        <f t="shared" si="127"/>
        <v>-73.762729207402572</v>
      </c>
      <c r="AV201" s="195">
        <f t="shared" si="128"/>
        <v>-170.45639790971887</v>
      </c>
    </row>
    <row r="202" spans="6:48" x14ac:dyDescent="0.2">
      <c r="F202" s="195">
        <v>200</v>
      </c>
      <c r="G202" s="210">
        <f t="shared" si="97"/>
        <v>90.398668817811483</v>
      </c>
      <c r="H202" s="210">
        <f t="shared" si="98"/>
        <v>88.601646687556354</v>
      </c>
      <c r="I202" s="196">
        <f t="shared" si="99"/>
        <v>0</v>
      </c>
      <c r="J202" s="195">
        <f t="shared" si="121"/>
        <v>0</v>
      </c>
      <c r="K202" s="195">
        <f t="shared" si="122"/>
        <v>0</v>
      </c>
      <c r="L202" s="195">
        <f>10^('Small Signal'!F202/30)</f>
        <v>4641588.8336127857</v>
      </c>
      <c r="M202" s="195" t="str">
        <f t="shared" si="100"/>
        <v>29163962.7613247i</v>
      </c>
      <c r="N202" s="195">
        <f>IF(D$32=1, IF(AND('Small Signal'!$B$62&gt;=1,FCCM=0),V202+0,S202+0), 0)</f>
        <v>-75.081265433382555</v>
      </c>
      <c r="O202" s="195">
        <f>IF(D$32=1, IF(AND('Small Signal'!$B$62&gt;=1,FCCM=0),W202,T202), 0)</f>
        <v>-170.82610296607459</v>
      </c>
      <c r="P202" s="195">
        <f>IF(AND('Small Signal'!$B$62&gt;=1,FCCM=0),AF202+0,AC202+0)</f>
        <v>-75.701537858159483</v>
      </c>
      <c r="Q202" s="195">
        <f>IF(AND('Small Signal'!$B$62&gt;=1,FCCM=0),AG202,AD202)</f>
        <v>-75.12338384581102</v>
      </c>
      <c r="R202" s="195" t="str">
        <f>IMDIV(IMSUM('Small Signal'!$B$2*'Small Signal'!$B$39*'Small Signal'!$B$63,IMPRODUCT(M202,'Small Signal'!$B$2*'Small Signal'!$B$39*'Small Signal'!$B$63*'Small Signal'!$B$14*'Small Signal'!$B$15)),IMSUM(IMPRODUCT('Small Signal'!$B$12*'Small Signal'!$B$14*('Small Signal'!$B$15+'Small Signal'!$B$39),IMPOWER(M202,2)),IMSUM(IMPRODUCT(M202,('Small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-0.0000336293076317261-0.000484469156227294i</v>
      </c>
      <c r="S202" s="195">
        <f t="shared" si="123"/>
        <v>-75.081265433382555</v>
      </c>
      <c r="T202" s="195">
        <f t="shared" si="124"/>
        <v>-170.82610296607459</v>
      </c>
      <c r="U202" s="195" t="str">
        <f>IMDIV(IMSUM('Small Signal'!$B$75,IMPRODUCT(M202,'Small Signal'!$B$76)),IMSUM(IMPRODUCT('Small Signal'!$B$79,IMPOWER(M202,2)),IMSUM(IMPRODUCT(M202,'Small Signal'!$B$78),'Small Signal'!$B$77)))</f>
        <v>-0.0000207284474339222-0.000259181166967015i</v>
      </c>
      <c r="V202" s="195">
        <f t="shared" si="101"/>
        <v>-71.700241003848532</v>
      </c>
      <c r="W202" s="195">
        <f t="shared" si="102"/>
        <v>-94.572593217283597</v>
      </c>
      <c r="X202" s="195" t="str">
        <f>IMPRODUCT(IMDIV(IMSUM(IMPRODUCT(M202,'Small Signal'!$B$58*'Small Signal'!$B$6*'Small Signal'!$B$51*'Small Signal'!$B$7*'Small Signal'!$B$8),'Small Signal'!$B$58*'Small Signal'!$B$6*'Small Signal'!$B$51),IMSUM(IMSUM(IMPRODUCT(M202,('Small Signal'!$B$5+'Small Signal'!$B$6)*('Small Signal'!$B$57*'Small Signal'!$B$58)+'Small Signal'!$B$5*'Small Signal'!$B$58*('Small Signal'!$B$8+'Small Signal'!$B$9)+'Small Signal'!$B$6*'Small Signal'!$B$58*('Small Signal'!$B$8+'Small Signal'!$B$9)+'Small Signal'!$B$7*'Small Signal'!$B$8*('Small Signal'!$B$5+'Small Signal'!$B$6)),'Small Signal'!$B$6+'Small Signal'!$B$5),IMPRODUCT(IMPOWER(M202,2),'Small Signal'!$B$57*'Small Signal'!$B$58*'Small Signal'!$B$8*'Small Signal'!$B$7*('Small Signal'!$B$5+'Small Signal'!$B$6)+('Small Signal'!$B$5+'Small Signal'!$B$6)*('Small Signal'!$B$9*'Small Signal'!$B$8*'Small Signal'!$B$58*'Small Signal'!$B$7)))),-1)</f>
        <v>-0.0256918586355389+0.415322082789581i</v>
      </c>
      <c r="Y202" s="195">
        <f t="shared" si="103"/>
        <v>-0.62027242477691757</v>
      </c>
      <c r="Z202" s="195">
        <f t="shared" si="104"/>
        <v>95.702719120263566</v>
      </c>
      <c r="AA202" s="195" t="str">
        <f t="shared" si="105"/>
        <v>2.23595197230568+0.0844470072683243i</v>
      </c>
      <c r="AB202" s="195" t="str">
        <f t="shared" si="106"/>
        <v>0.0000421127774940183-0.000158531803878307i</v>
      </c>
      <c r="AC202" s="192">
        <f t="shared" si="107"/>
        <v>-75.701537858159483</v>
      </c>
      <c r="AD202" s="195">
        <f t="shared" si="108"/>
        <v>-75.12338384581102</v>
      </c>
      <c r="AE202" s="195" t="str">
        <f t="shared" si="109"/>
        <v>0.000108176214425781-1.95013605854036E-06i</v>
      </c>
      <c r="AF202" s="192">
        <f t="shared" si="110"/>
        <v>-79.315953238845324</v>
      </c>
      <c r="AG202" s="195">
        <f t="shared" si="111"/>
        <v>-1.0327821553180534</v>
      </c>
      <c r="AI202" s="195" t="str">
        <f t="shared" si="112"/>
        <v>0.002-0.000171444465243615i</v>
      </c>
      <c r="AJ202" s="195">
        <f t="shared" si="113"/>
        <v>0.22500000000000001</v>
      </c>
      <c r="AK202" s="195" t="str">
        <f t="shared" si="114"/>
        <v>0.0375-0.342888930487229i</v>
      </c>
      <c r="AL202" s="195" t="str">
        <f t="shared" si="115"/>
        <v>0.00197929281859278-0.000179440889301689i</v>
      </c>
      <c r="AM202" s="195" t="str">
        <f t="shared" si="116"/>
        <v>0.0545498392749204-0.214563467932642i</v>
      </c>
      <c r="AN202" s="195" t="str">
        <f t="shared" si="117"/>
        <v>0.006+40.1748466610085i</v>
      </c>
      <c r="AO202" s="195" t="str">
        <f t="shared" si="118"/>
        <v>-0.000173918521627905-0.0000280873471032218i</v>
      </c>
      <c r="AP202" s="195">
        <f t="shared" si="125"/>
        <v>-75.081265433382555</v>
      </c>
      <c r="AQ202" s="195">
        <f t="shared" si="126"/>
        <v>-170.82610296607459</v>
      </c>
      <c r="AS202" s="195" t="str">
        <f t="shared" si="119"/>
        <v>0.0533250174046431-0.215219672301382i</v>
      </c>
      <c r="AT202" s="195" t="str">
        <f t="shared" si="120"/>
        <v>-0.000174355859586952-0.0000270653040968354i</v>
      </c>
      <c r="AU202" s="195">
        <f t="shared" si="127"/>
        <v>-75.067860526380215</v>
      </c>
      <c r="AV202" s="195">
        <f t="shared" si="128"/>
        <v>-171.17638448415653</v>
      </c>
    </row>
    <row r="203" spans="6:48" x14ac:dyDescent="0.2">
      <c r="F203" s="195">
        <v>201</v>
      </c>
      <c r="G203" s="210">
        <f t="shared" si="97"/>
        <v>89.948794858444444</v>
      </c>
      <c r="H203" s="210">
        <f t="shared" si="98"/>
        <v>88.284125293160528</v>
      </c>
      <c r="I203" s="196">
        <f t="shared" si="99"/>
        <v>0</v>
      </c>
      <c r="J203" s="195">
        <f t="shared" si="121"/>
        <v>0</v>
      </c>
      <c r="K203" s="195">
        <f t="shared" si="122"/>
        <v>0</v>
      </c>
      <c r="L203" s="195">
        <f>10^('Small Signal'!F203/30)</f>
        <v>5011872.3362727314</v>
      </c>
      <c r="M203" s="195" t="str">
        <f t="shared" si="100"/>
        <v>31490522.6247287i</v>
      </c>
      <c r="N203" s="195">
        <f>IF(D$32=1, IF(AND('Small Signal'!$B$62&gt;=1,FCCM=0),V203+0,S203+0), 0)</f>
        <v>-76.388613610259711</v>
      </c>
      <c r="O203" s="195">
        <f>IF(D$32=1, IF(AND('Small Signal'!$B$62&gt;=1,FCCM=0),W203,T203), 0)</f>
        <v>-171.52576544572284</v>
      </c>
      <c r="P203" s="195">
        <f>IF(AND('Small Signal'!$B$62&gt;=1,FCCM=0),AF203+0,AC203+0)</f>
        <v>-77.670775901857056</v>
      </c>
      <c r="Q203" s="195">
        <f>IF(AND('Small Signal'!$B$62&gt;=1,FCCM=0),AG203,AD203)</f>
        <v>-76.243002691651981</v>
      </c>
      <c r="R203" s="195" t="str">
        <f>IMDIV(IMSUM('Small Signal'!$B$2*'Small Signal'!$B$39*'Small Signal'!$B$63,IMPRODUCT(M203,'Small Signal'!$B$2*'Small Signal'!$B$39*'Small Signal'!$B$63*'Small Signal'!$B$14*'Small Signal'!$B$15)),IMSUM(IMPRODUCT('Small Signal'!$B$12*'Small Signal'!$B$14*('Small Signal'!$B$15+'Small Signal'!$B$39),IMPOWER(M203,2)),IMSUM(IMPRODUCT(M203,('Small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-0.0000288447477491123-0.000448603113785948i</v>
      </c>
      <c r="S203" s="195">
        <f t="shared" si="123"/>
        <v>-76.388613610259711</v>
      </c>
      <c r="T203" s="195">
        <f t="shared" si="124"/>
        <v>-171.52576544572284</v>
      </c>
      <c r="U203" s="195" t="str">
        <f>IMDIV(IMSUM('Small Signal'!$B$75,IMPRODUCT(M203,'Small Signal'!$B$76)),IMSUM(IMPRODUCT('Small Signal'!$B$79,IMPOWER(M203,2)),IMSUM(IMPRODUCT(M203,'Small Signal'!$B$78),'Small Signal'!$B$77)))</f>
        <v>-0.0000177787696917216-0.000240016696424398i</v>
      </c>
      <c r="V203" s="195">
        <f t="shared" si="101"/>
        <v>-72.371407112596941</v>
      </c>
      <c r="W203" s="195">
        <f t="shared" si="102"/>
        <v>-94.236336666494978</v>
      </c>
      <c r="X203" s="195" t="str">
        <f>IMPRODUCT(IMDIV(IMSUM(IMPRODUCT(M203,'Small Signal'!$B$58*'Small Signal'!$B$6*'Small Signal'!$B$51*'Small Signal'!$B$7*'Small Signal'!$B$8),'Small Signal'!$B$58*'Small Signal'!$B$6*'Small Signal'!$B$51),IMSUM(IMSUM(IMPRODUCT(M203,('Small Signal'!$B$5+'Small Signal'!$B$6)*('Small Signal'!$B$57*'Small Signal'!$B$58)+'Small Signal'!$B$5*'Small Signal'!$B$58*('Small Signal'!$B$8+'Small Signal'!$B$9)+'Small Signal'!$B$6*'Small Signal'!$B$58*('Small Signal'!$B$8+'Small Signal'!$B$9)+'Small Signal'!$B$7*'Small Signal'!$B$8*('Small Signal'!$B$5+'Small Signal'!$B$6)),'Small Signal'!$B$6+'Small Signal'!$B$5),IMPRODUCT(IMPOWER(M203,2),'Small Signal'!$B$57*'Small Signal'!$B$58*'Small Signal'!$B$8*'Small Signal'!$B$7*('Small Signal'!$B$5+'Small Signal'!$B$6)+('Small Signal'!$B$5+'Small Signal'!$B$6)*('Small Signal'!$B$9*'Small Signal'!$B$8*'Small Signal'!$B$58*'Small Signal'!$B$7)))),-1)</f>
        <v>-0.0220483853078987+0.384851678920686i</v>
      </c>
      <c r="Y203" s="195">
        <f t="shared" si="103"/>
        <v>-1.2821622915973672</v>
      </c>
      <c r="Z203" s="195">
        <f t="shared" si="104"/>
        <v>95.282762754070873</v>
      </c>
      <c r="AA203" s="195" t="str">
        <f t="shared" si="105"/>
        <v>2.23676977565946+0.0782597035200134i</v>
      </c>
      <c r="AB203" s="195" t="str">
        <f t="shared" si="106"/>
        <v>0.0000310943372086925-0.000127004883914357i</v>
      </c>
      <c r="AC203" s="192">
        <f t="shared" si="107"/>
        <v>-77.670775901857056</v>
      </c>
      <c r="AD203" s="195">
        <f t="shared" si="108"/>
        <v>-76.243002691651981</v>
      </c>
      <c r="AE203" s="195" t="str">
        <f t="shared" si="109"/>
        <v>0.0000927628217523897-1.55020876190919E-06i</v>
      </c>
      <c r="AF203" s="192">
        <f t="shared" si="110"/>
        <v>-80.651308272841391</v>
      </c>
      <c r="AG203" s="195">
        <f t="shared" si="111"/>
        <v>-0.95741106922304686</v>
      </c>
      <c r="AI203" s="195" t="str">
        <f t="shared" si="112"/>
        <v>0.002-0.000158777930096137i</v>
      </c>
      <c r="AJ203" s="195">
        <f t="shared" si="113"/>
        <v>0.22500000000000001</v>
      </c>
      <c r="AK203" s="195" t="str">
        <f t="shared" si="114"/>
        <v>0.0375-0.317555860192274i</v>
      </c>
      <c r="AL203" s="195" t="str">
        <f t="shared" si="115"/>
        <v>0.00197906627429281-0.000167861034473819i</v>
      </c>
      <c r="AM203" s="195" t="str">
        <f t="shared" si="116"/>
        <v>0.0471949167104429-0.200442985140416i</v>
      </c>
      <c r="AN203" s="195" t="str">
        <f t="shared" si="117"/>
        <v>0.006+43.3798015748814i</v>
      </c>
      <c r="AO203" s="195" t="str">
        <f t="shared" si="118"/>
        <v>-0.000149900029984181-0.0000223337997698673i</v>
      </c>
      <c r="AP203" s="195">
        <f t="shared" si="125"/>
        <v>-76.388613610259711</v>
      </c>
      <c r="AQ203" s="195">
        <f t="shared" si="126"/>
        <v>-171.52576544572284</v>
      </c>
      <c r="AS203" s="195" t="str">
        <f t="shared" si="119"/>
        <v>0.046116220738693-0.20097313286634i</v>
      </c>
      <c r="AT203" s="195" t="str">
        <f t="shared" si="120"/>
        <v>-0.000150225151838578-0.0000215066990742356i</v>
      </c>
      <c r="AU203" s="195">
        <f t="shared" si="127"/>
        <v>-76.377035285016547</v>
      </c>
      <c r="AV203" s="195">
        <f t="shared" si="128"/>
        <v>-171.85271869141459</v>
      </c>
    </row>
    <row r="204" spans="6:48" x14ac:dyDescent="0.2">
      <c r="F204" s="195">
        <v>202</v>
      </c>
      <c r="G204" s="210">
        <f t="shared" si="97"/>
        <v>89.531853458059459</v>
      </c>
      <c r="H204" s="210">
        <f t="shared" si="98"/>
        <v>87.989842992327297</v>
      </c>
      <c r="I204" s="196">
        <f t="shared" si="99"/>
        <v>0</v>
      </c>
      <c r="J204" s="195">
        <f t="shared" si="121"/>
        <v>0</v>
      </c>
      <c r="K204" s="195">
        <f t="shared" si="122"/>
        <v>0</v>
      </c>
      <c r="L204" s="195">
        <f>10^('Small Signal'!F204/30)</f>
        <v>5411695.2654646477</v>
      </c>
      <c r="M204" s="195" t="str">
        <f t="shared" si="100"/>
        <v>34002684.1789008i</v>
      </c>
      <c r="N204" s="195">
        <f>IF(D$32=1, IF(AND('Small Signal'!$B$62&gt;=1,FCCM=0),V204+0,S204+0), 0)</f>
        <v>-77.699758740307729</v>
      </c>
      <c r="O204" s="195">
        <f>IF(D$32=1, IF(AND('Small Signal'!$B$62&gt;=1,FCCM=0),W204,T204), 0)</f>
        <v>-172.18281985601197</v>
      </c>
      <c r="P204" s="195">
        <f>IF(AND('Small Signal'!$B$62&gt;=1,FCCM=0),AF204+0,AC204+0)</f>
        <v>-79.644488074371125</v>
      </c>
      <c r="Q204" s="195">
        <f>IF(AND('Small Signal'!$B$62&gt;=1,FCCM=0),AG204,AD204)</f>
        <v>-77.28926708676174</v>
      </c>
      <c r="R204" s="195" t="str">
        <f>IMDIV(IMSUM('Small Signal'!$B$2*'Small Signal'!$B$39*'Small Signal'!$B$63,IMPRODUCT(M204,'Small Signal'!$B$2*'Small Signal'!$B$39*'Small Signal'!$B$63*'Small Signal'!$B$14*'Small Signal'!$B$15)),IMSUM(IMPRODUCT('Small Signal'!$B$12*'Small Signal'!$B$14*('Small Signal'!$B$15+'Small Signal'!$B$39),IMPOWER(M204,2)),IMSUM(IMPRODUCT(M204,('Small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-0.0000247407785097652-0.000415401878799112i</v>
      </c>
      <c r="S204" s="195">
        <f t="shared" si="123"/>
        <v>-77.699758740307729</v>
      </c>
      <c r="T204" s="195">
        <f t="shared" si="124"/>
        <v>-172.18281985601197</v>
      </c>
      <c r="U204" s="195" t="str">
        <f>IMDIV(IMSUM('Small Signal'!$B$75,IMPRODUCT(M204,'Small Signal'!$B$76)),IMSUM(IMPRODUCT('Small Signal'!$B$79,IMPOWER(M204,2)),IMSUM(IMPRODUCT(M204,'Small Signal'!$B$78),'Small Signal'!$B$77)))</f>
        <v>-0.0000152488259162174-0.000222271378355861i</v>
      </c>
      <c r="V204" s="195">
        <f t="shared" si="101"/>
        <v>-73.041936667960698</v>
      </c>
      <c r="W204" s="195">
        <f t="shared" si="102"/>
        <v>-93.924601216519235</v>
      </c>
      <c r="X204" s="195" t="str">
        <f>IMPRODUCT(IMDIV(IMSUM(IMPRODUCT(M204,'Small Signal'!$B$58*'Small Signal'!$B$6*'Small Signal'!$B$51*'Small Signal'!$B$7*'Small Signal'!$B$8),'Small Signal'!$B$58*'Small Signal'!$B$6*'Small Signal'!$B$51),IMSUM(IMSUM(IMPRODUCT(M204,('Small Signal'!$B$5+'Small Signal'!$B$6)*('Small Signal'!$B$57*'Small Signal'!$B$58)+'Small Signal'!$B$5*'Small Signal'!$B$58*('Small Signal'!$B$8+'Small Signal'!$B$9)+'Small Signal'!$B$6*'Small Signal'!$B$58*('Small Signal'!$B$8+'Small Signal'!$B$9)+'Small Signal'!$B$7*'Small Signal'!$B$8*('Small Signal'!$B$5+'Small Signal'!$B$6)),'Small Signal'!$B$6+'Small Signal'!$B$5),IMPRODUCT(IMPOWER(M204,2),'Small Signal'!$B$57*'Small Signal'!$B$58*'Small Signal'!$B$8*'Small Signal'!$B$7*('Small Signal'!$B$5+'Small Signal'!$B$6)+('Small Signal'!$B$5+'Small Signal'!$B$6)*('Small Signal'!$B$9*'Small Signal'!$B$8*'Small Signal'!$B$58*'Small Signal'!$B$7)))),-1)</f>
        <v>-0.0189200764498333+0.356588609356461i</v>
      </c>
      <c r="Y204" s="195">
        <f t="shared" si="103"/>
        <v>-1.9447293340633705</v>
      </c>
      <c r="Z204" s="195">
        <f t="shared" si="104"/>
        <v>94.893552769250164</v>
      </c>
      <c r="AA204" s="195" t="str">
        <f t="shared" si="105"/>
        <v>2.23747206492373+0.0725189329808492i</v>
      </c>
      <c r="AB204" s="195" t="str">
        <f t="shared" si="106"/>
        <v>0.0000229221530056728-0.000101624847485761i</v>
      </c>
      <c r="AC204" s="192">
        <f t="shared" si="107"/>
        <v>-79.644488074371125</v>
      </c>
      <c r="AD204" s="195">
        <f t="shared" si="108"/>
        <v>-77.28926708676174</v>
      </c>
      <c r="AE204" s="195" t="str">
        <f t="shared" si="109"/>
        <v>0.0000795479506597653-1.23216615668001E-06i</v>
      </c>
      <c r="AF204" s="192">
        <f t="shared" si="110"/>
        <v>-81.986378217997938</v>
      </c>
      <c r="AG204" s="195">
        <f t="shared" si="111"/>
        <v>-0.88741789737331112</v>
      </c>
      <c r="AI204" s="195" t="str">
        <f t="shared" si="112"/>
        <v>0.002-0.000147047214675557i</v>
      </c>
      <c r="AJ204" s="195">
        <f t="shared" si="113"/>
        <v>0.22500000000000001</v>
      </c>
      <c r="AK204" s="195" t="str">
        <f t="shared" si="114"/>
        <v>0.0375-0.294094429351115i</v>
      </c>
      <c r="AL204" s="195" t="str">
        <f t="shared" si="115"/>
        <v>0.00197880885369966-0.00015726206158507i</v>
      </c>
      <c r="AM204" s="195" t="str">
        <f t="shared" si="116"/>
        <v>0.0407837323710973-0.187032009289841i</v>
      </c>
      <c r="AN204" s="195" t="str">
        <f t="shared" si="117"/>
        <v>0.006+46.8404322872613i</v>
      </c>
      <c r="AO204" s="195" t="str">
        <f t="shared" si="118"/>
        <v>-0.000129109244294051-0.000017725207998891i</v>
      </c>
      <c r="AP204" s="195">
        <f t="shared" si="125"/>
        <v>-77.699758740307729</v>
      </c>
      <c r="AQ204" s="195">
        <f t="shared" si="126"/>
        <v>-172.18281985601197</v>
      </c>
      <c r="AS204" s="195" t="str">
        <f t="shared" si="119"/>
        <v>0.0398372583863627-0.187459333711575i</v>
      </c>
      <c r="AT204" s="195" t="str">
        <f t="shared" si="120"/>
        <v>-0.000129350426982498-0.0000170576259980525i</v>
      </c>
      <c r="AU204" s="195">
        <f t="shared" si="127"/>
        <v>-77.689767702934176</v>
      </c>
      <c r="AV204" s="195">
        <f t="shared" si="128"/>
        <v>-172.48767006173267</v>
      </c>
    </row>
    <row r="205" spans="6:48" x14ac:dyDescent="0.2">
      <c r="F205" s="195">
        <v>203</v>
      </c>
      <c r="G205" s="210">
        <f t="shared" si="97"/>
        <v>89.145473885723092</v>
      </c>
      <c r="H205" s="210">
        <f t="shared" si="98"/>
        <v>87.717127813010464</v>
      </c>
      <c r="I205" s="196">
        <f t="shared" si="99"/>
        <v>0</v>
      </c>
      <c r="J205" s="195">
        <f t="shared" si="121"/>
        <v>0</v>
      </c>
      <c r="K205" s="195">
        <f t="shared" si="122"/>
        <v>0</v>
      </c>
      <c r="L205" s="195">
        <f>10^('Small Signal'!F205/30)</f>
        <v>5843414.133735179</v>
      </c>
      <c r="M205" s="195" t="str">
        <f t="shared" si="100"/>
        <v>36715253.8288504i</v>
      </c>
      <c r="N205" s="195">
        <f>IF(D$32=1, IF(AND('Small Signal'!$B$62&gt;=1,FCCM=0),V205+0,S205+0), 0)</f>
        <v>-79.014247853054528</v>
      </c>
      <c r="O205" s="195">
        <f>IF(D$32=1, IF(AND('Small Signal'!$B$62&gt;=1,FCCM=0),W205,T205), 0)</f>
        <v>-172.79959295834769</v>
      </c>
      <c r="P205" s="195">
        <f>IF(AND('Small Signal'!$B$62&gt;=1,FCCM=0),AF205+0,AC205+0)</f>
        <v>-81.622125720992869</v>
      </c>
      <c r="Q205" s="195">
        <f>IF(AND('Small Signal'!$B$62&gt;=1,FCCM=0),AG205,AD205)</f>
        <v>-78.266717926546832</v>
      </c>
      <c r="R205" s="195" t="str">
        <f>IMDIV(IMSUM('Small Signal'!$B$2*'Small Signal'!$B$39*'Small Signal'!$B$63,IMPRODUCT(M205,'Small Signal'!$B$2*'Small Signal'!$B$39*'Small Signal'!$B$63*'Small Signal'!$B$14*'Small Signal'!$B$15)),IMSUM(IMPRODUCT('Small Signal'!$B$12*'Small Signal'!$B$14*('Small Signal'!$B$15+'Small Signal'!$B$39),IMPOWER(M205,2)),IMSUM(IMPRODUCT(M205,('Small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-0.0000212206209228319-0.000384665492350248i</v>
      </c>
      <c r="S205" s="195">
        <f t="shared" si="123"/>
        <v>-79.014247853054528</v>
      </c>
      <c r="T205" s="195">
        <f t="shared" si="124"/>
        <v>-172.79959295834769</v>
      </c>
      <c r="U205" s="195" t="str">
        <f>IMDIV(IMSUM('Small Signal'!$B$75,IMPRODUCT(M205,'Small Signal'!$B$76)),IMSUM(IMPRODUCT('Small Signal'!$B$79,IMPOWER(M205,2)),IMSUM(IMPRODUCT(M205,'Small Signal'!$B$78),'Small Signal'!$B$77)))</f>
        <v>-0.0000130788908088498-0.00020583969411474i</v>
      </c>
      <c r="V205" s="195">
        <f t="shared" si="101"/>
        <v>-73.711919271485186</v>
      </c>
      <c r="W205" s="195">
        <f t="shared" si="102"/>
        <v>-93.635640975870189</v>
      </c>
      <c r="X205" s="195" t="str">
        <f>IMPRODUCT(IMDIV(IMSUM(IMPRODUCT(M205,'Small Signal'!$B$58*'Small Signal'!$B$6*'Small Signal'!$B$51*'Small Signal'!$B$7*'Small Signal'!$B$8),'Small Signal'!$B$58*'Small Signal'!$B$6*'Small Signal'!$B$51),IMSUM(IMSUM(IMPRODUCT(M205,('Small Signal'!$B$5+'Small Signal'!$B$6)*('Small Signal'!$B$57*'Small Signal'!$B$58)+'Small Signal'!$B$5*'Small Signal'!$B$58*('Small Signal'!$B$8+'Small Signal'!$B$9)+'Small Signal'!$B$6*'Small Signal'!$B$58*('Small Signal'!$B$8+'Small Signal'!$B$9)+'Small Signal'!$B$7*'Small Signal'!$B$8*('Small Signal'!$B$5+'Small Signal'!$B$6)),'Small Signal'!$B$6+'Small Signal'!$B$5),IMPRODUCT(IMPOWER(M205,2),'Small Signal'!$B$57*'Small Signal'!$B$58*'Small Signal'!$B$8*'Small Signal'!$B$7*('Small Signal'!$B$5+'Small Signal'!$B$6)+('Small Signal'!$B$5+'Small Signal'!$B$6)*('Small Signal'!$B$9*'Small Signal'!$B$8*'Small Signal'!$B$58*'Small Signal'!$B$7)))),-1)</f>
        <v>-0.0162344952305748+0.330378756409771i</v>
      </c>
      <c r="Y205" s="195">
        <f t="shared" si="103"/>
        <v>-2.6078778679383516</v>
      </c>
      <c r="Z205" s="195">
        <f t="shared" si="104"/>
        <v>94.532875031800856</v>
      </c>
      <c r="AA205" s="195" t="str">
        <f t="shared" si="105"/>
        <v>2.2380750512607+0.0671938677675296i</v>
      </c>
      <c r="AB205" s="195" t="str">
        <f t="shared" si="106"/>
        <v>0.0000168713899052861-0.0000812312087595892i</v>
      </c>
      <c r="AC205" s="192">
        <f t="shared" si="107"/>
        <v>-81.622125720992869</v>
      </c>
      <c r="AD205" s="195">
        <f t="shared" si="108"/>
        <v>-78.266717926546832</v>
      </c>
      <c r="AE205" s="195" t="str">
        <f t="shared" si="109"/>
        <v>0.0000682173913518529-9.79284148278258E-07i</v>
      </c>
      <c r="AF205" s="192">
        <f t="shared" si="110"/>
        <v>-83.321202958447856</v>
      </c>
      <c r="AG205" s="195">
        <f t="shared" si="111"/>
        <v>-0.82244415650702452</v>
      </c>
      <c r="AI205" s="195" t="str">
        <f t="shared" si="112"/>
        <v>0.002-0.000136183179430209i</v>
      </c>
      <c r="AJ205" s="195">
        <f t="shared" si="113"/>
        <v>0.22500000000000001</v>
      </c>
      <c r="AK205" s="195" t="str">
        <f t="shared" si="114"/>
        <v>0.0375-0.272366358860418i</v>
      </c>
      <c r="AL205" s="195" t="str">
        <f t="shared" si="115"/>
        <v>0.00197851503740755-0.000147579390255025i</v>
      </c>
      <c r="AM205" s="195" t="str">
        <f t="shared" si="116"/>
        <v>0.0352074553125525-0.174339959736509i</v>
      </c>
      <c r="AN205" s="195" t="str">
        <f t="shared" si="117"/>
        <v>0.006+50.5771353764776i</v>
      </c>
      <c r="AO205" s="195" t="str">
        <f t="shared" si="118"/>
        <v>-0.000111134551887378-0.0000140403609886162i</v>
      </c>
      <c r="AP205" s="195">
        <f t="shared" si="125"/>
        <v>-79.014247853054528</v>
      </c>
      <c r="AQ205" s="195">
        <f t="shared" si="126"/>
        <v>-172.79959295834769</v>
      </c>
      <c r="AS205" s="195" t="str">
        <f t="shared" si="119"/>
        <v>0.0343796508879972-0.174683716091146i</v>
      </c>
      <c r="AT205" s="195" t="str">
        <f t="shared" si="120"/>
        <v>-0.000111313114393263-0.0000135027568888051i</v>
      </c>
      <c r="AU205" s="195">
        <f t="shared" si="127"/>
        <v>-79.005633683749579</v>
      </c>
      <c r="AV205" s="195">
        <f t="shared" si="128"/>
        <v>-173.08356924150397</v>
      </c>
    </row>
    <row r="206" spans="6:48" x14ac:dyDescent="0.2">
      <c r="F206" s="195">
        <v>204</v>
      </c>
      <c r="G206" s="210">
        <f t="shared" si="97"/>
        <v>88.787447830959238</v>
      </c>
      <c r="H206" s="210">
        <f t="shared" si="98"/>
        <v>87.464422140359972</v>
      </c>
      <c r="I206" s="196">
        <f t="shared" si="99"/>
        <v>0</v>
      </c>
      <c r="J206" s="195">
        <f t="shared" si="121"/>
        <v>0</v>
      </c>
      <c r="K206" s="195">
        <f t="shared" si="122"/>
        <v>0</v>
      </c>
      <c r="L206" s="195">
        <f>10^('Small Signal'!F206/30)</f>
        <v>6309573.4448019378</v>
      </c>
      <c r="M206" s="195" t="str">
        <f t="shared" si="100"/>
        <v>39644219.16295i</v>
      </c>
      <c r="N206" s="195">
        <f>IF(D$32=1, IF(AND('Small Signal'!$B$62&gt;=1,FCCM=0),V206+0,S206+0), 0)</f>
        <v>-80.331687638066541</v>
      </c>
      <c r="O206" s="195">
        <f>IF(D$32=1, IF(AND('Small Signal'!$B$62&gt;=1,FCCM=0),W206,T206), 0)</f>
        <v>-173.37844389899396</v>
      </c>
      <c r="P206" s="195">
        <f>IF(AND('Small Signal'!$B$62&gt;=1,FCCM=0),AF206+0,AC206+0)</f>
        <v>-83.603213284148424</v>
      </c>
      <c r="Q206" s="195">
        <f>IF(AND('Small Signal'!$B$62&gt;=1,FCCM=0),AG206,AD206)</f>
        <v>-79.179776644469555</v>
      </c>
      <c r="R206" s="195" t="str">
        <f>IMDIV(IMSUM('Small Signal'!$B$2*'Small Signal'!$B$39*'Small Signal'!$B$63,IMPRODUCT(M206,'Small Signal'!$B$2*'Small Signal'!$B$39*'Small Signal'!$B$63*'Small Signal'!$B$14*'Small Signal'!$B$15)),IMSUM(IMPRODUCT('Small Signal'!$B$12*'Small Signal'!$B$14*('Small Signal'!$B$15+'Small Signal'!$B$39),IMPOWER(M206,2)),IMSUM(IMPRODUCT(M206,('Small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-0.0000182012490571951-0.000356209401759756i</v>
      </c>
      <c r="S206" s="195">
        <f t="shared" si="123"/>
        <v>-80.331687638066541</v>
      </c>
      <c r="T206" s="195">
        <f t="shared" si="124"/>
        <v>-173.37844389899396</v>
      </c>
      <c r="U206" s="195" t="str">
        <f>IMDIV(IMSUM('Small Signal'!$B$75,IMPRODUCT(M206,'Small Signal'!$B$76)),IMSUM(IMPRODUCT('Small Signal'!$B$79,IMPOWER(M206,2)),IMSUM(IMPRODUCT(M206,'Small Signal'!$B$78),'Small Signal'!$B$77)))</f>
        <v>-0.0000112177370188661-0.000190624058670705i</v>
      </c>
      <c r="V206" s="195">
        <f t="shared" si="101"/>
        <v>-74.381432031993015</v>
      </c>
      <c r="W206" s="195">
        <f t="shared" si="102"/>
        <v>-93.367825662749837</v>
      </c>
      <c r="X206" s="195" t="str">
        <f>IMPRODUCT(IMDIV(IMSUM(IMPRODUCT(M206,'Small Signal'!$B$58*'Small Signal'!$B$6*'Small Signal'!$B$51*'Small Signal'!$B$7*'Small Signal'!$B$8),'Small Signal'!$B$58*'Small Signal'!$B$6*'Small Signal'!$B$51),IMSUM(IMSUM(IMPRODUCT(M206,('Small Signal'!$B$5+'Small Signal'!$B$6)*('Small Signal'!$B$57*'Small Signal'!$B$58)+'Small Signal'!$B$5*'Small Signal'!$B$58*('Small Signal'!$B$8+'Small Signal'!$B$9)+'Small Signal'!$B$6*'Small Signal'!$B$58*('Small Signal'!$B$8+'Small Signal'!$B$9)+'Small Signal'!$B$7*'Small Signal'!$B$8*('Small Signal'!$B$5+'Small Signal'!$B$6)),'Small Signal'!$B$6+'Small Signal'!$B$5),IMPRODUCT(IMPOWER(M206,2),'Small Signal'!$B$57*'Small Signal'!$B$58*'Small Signal'!$B$8*'Small Signal'!$B$7*('Small Signal'!$B$5+'Small Signal'!$B$6)+('Small Signal'!$B$5+'Small Signal'!$B$6)*('Small Signal'!$B$9*'Small Signal'!$B$8*'Small Signal'!$B$58*'Small Signal'!$B$7)))),-1)</f>
        <v>-0.0139292833744408+0.306077563575009i</v>
      </c>
      <c r="Y206" s="195">
        <f t="shared" si="103"/>
        <v>-3.2715256460818871</v>
      </c>
      <c r="Z206" s="195">
        <f t="shared" si="104"/>
        <v>94.198667254524466</v>
      </c>
      <c r="AA206" s="195" t="str">
        <f t="shared" si="105"/>
        <v>2.23859269851722+0.0622555179146038i</v>
      </c>
      <c r="AB206" s="195" t="str">
        <f t="shared" si="106"/>
        <v>0.0000123984793778417-0.0000648706983654985i</v>
      </c>
      <c r="AC206" s="192">
        <f t="shared" si="107"/>
        <v>-83.603213284148424</v>
      </c>
      <c r="AD206" s="195">
        <f t="shared" si="108"/>
        <v>-79.179776644469555</v>
      </c>
      <c r="AE206" s="195" t="str">
        <f t="shared" si="109"/>
        <v>0.0000585020024744647-7.78241084349441E-07i</v>
      </c>
      <c r="AF206" s="192">
        <f t="shared" si="110"/>
        <v>-84.655816882266379</v>
      </c>
      <c r="AG206" s="195">
        <f t="shared" si="111"/>
        <v>-0.76214997244294624</v>
      </c>
      <c r="AI206" s="195" t="str">
        <f t="shared" si="112"/>
        <v>0.002-0.00012612179292644i</v>
      </c>
      <c r="AJ206" s="195">
        <f t="shared" si="113"/>
        <v>0.22500000000000001</v>
      </c>
      <c r="AK206" s="195" t="str">
        <f t="shared" si="114"/>
        <v>0.0375-0.252243585852881i</v>
      </c>
      <c r="AL206" s="195" t="str">
        <f t="shared" si="115"/>
        <v>0.00197817863903072-0.000138753330241471i</v>
      </c>
      <c r="AM206" s="195" t="str">
        <f t="shared" si="116"/>
        <v>0.0303666181836884-0.16236486913233i</v>
      </c>
      <c r="AN206" s="195" t="str">
        <f t="shared" si="117"/>
        <v>0.006+54.6119345612066i</v>
      </c>
      <c r="AO206" s="195" t="str">
        <f t="shared" si="118"/>
        <v>-0.0000956112356606833-0.0000110990518904256i</v>
      </c>
      <c r="AP206" s="195">
        <f t="shared" si="125"/>
        <v>-80.331687638066541</v>
      </c>
      <c r="AQ206" s="195">
        <f t="shared" si="126"/>
        <v>-173.37844389899396</v>
      </c>
      <c r="AS206" s="195" t="str">
        <f t="shared" si="119"/>
        <v>0.0296445956107994-0.162640920516316i</v>
      </c>
      <c r="AT206" s="195" t="str">
        <f t="shared" si="120"/>
        <v>-0.0000957431935972823-0.0000106669701095849i</v>
      </c>
      <c r="AU206" s="195">
        <f t="shared" si="127"/>
        <v>-80.324265952955074</v>
      </c>
      <c r="AV206" s="195">
        <f t="shared" si="128"/>
        <v>-173.64276200063759</v>
      </c>
    </row>
    <row r="207" spans="6:48" x14ac:dyDescent="0.2">
      <c r="F207" s="195">
        <v>205</v>
      </c>
      <c r="G207" s="210">
        <f t="shared" si="97"/>
        <v>88.455719992355895</v>
      </c>
      <c r="H207" s="210">
        <f t="shared" si="98"/>
        <v>87.230276129473054</v>
      </c>
      <c r="I207" s="196">
        <f t="shared" si="99"/>
        <v>0</v>
      </c>
      <c r="J207" s="195">
        <f t="shared" si="121"/>
        <v>0</v>
      </c>
      <c r="K207" s="195">
        <f t="shared" si="122"/>
        <v>0</v>
      </c>
      <c r="L207" s="195">
        <f>10^('Small Signal'!F207/30)</f>
        <v>6812920.6905796202</v>
      </c>
      <c r="M207" s="195" t="str">
        <f t="shared" si="100"/>
        <v>42806843.1820297i</v>
      </c>
      <c r="N207" s="195">
        <f>IF(D$32=1, IF(AND('Small Signal'!$B$62&gt;=1,FCCM=0),V207+0,S207+0), 0)</f>
        <v>-81.651739478290907</v>
      </c>
      <c r="O207" s="195">
        <f>IF(D$32=1, IF(AND('Small Signal'!$B$62&gt;=1,FCCM=0),W207,T207), 0)</f>
        <v>-173.92172302576333</v>
      </c>
      <c r="P207" s="195">
        <f>IF(AND('Small Signal'!$B$62&gt;=1,FCCM=0),AF207+0,AC207+0)</f>
        <v>-85.587341471666761</v>
      </c>
      <c r="Q207" s="195">
        <f>IF(AND('Small Signal'!$B$62&gt;=1,FCCM=0),AG207,AD207)</f>
        <v>-80.032712858679389</v>
      </c>
      <c r="R207" s="195" t="str">
        <f>IMDIV(IMSUM('Small Signal'!$B$2*'Small Signal'!$B$39*'Small Signal'!$B$63,IMPRODUCT(M207,'Small Signal'!$B$2*'Small Signal'!$B$39*'Small Signal'!$B$63*'Small Signal'!$B$14*'Small Signal'!$B$15)),IMSUM(IMPRODUCT('Small Signal'!$B$12*'Small Signal'!$B$14*('Small Signal'!$B$15+'Small Signal'!$B$39),IMPOWER(M207,2)),IMSUM(IMPRODUCT(M207,('Small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-0.0000156114379418722-0.000329863192273129i</v>
      </c>
      <c r="S207" s="195">
        <f t="shared" si="123"/>
        <v>-81.651739478290907</v>
      </c>
      <c r="T207" s="195">
        <f t="shared" si="124"/>
        <v>-173.92172302576333</v>
      </c>
      <c r="U207" s="195" t="str">
        <f>IMDIV(IMSUM('Small Signal'!$B$75,IMPRODUCT(M207,'Small Signal'!$B$76)),IMSUM(IMPRODUCT('Small Signal'!$B$79,IMPOWER(M207,2)),IMSUM(IMPRODUCT(M207,'Small Signal'!$B$78),'Small Signal'!$B$77)))</f>
        <v>-9.62142616959959E-06-0.000176534206131781i</v>
      </c>
      <c r="V207" s="195">
        <f t="shared" si="101"/>
        <v>-75.05054127582693</v>
      </c>
      <c r="W207" s="195">
        <f t="shared" si="102"/>
        <v>-93.119634769230004</v>
      </c>
      <c r="X207" s="195" t="str">
        <f>IMPRODUCT(IMDIV(IMSUM(IMPRODUCT(M207,'Small Signal'!$B$58*'Small Signal'!$B$6*'Small Signal'!$B$51*'Small Signal'!$B$7*'Small Signal'!$B$8),'Small Signal'!$B$58*'Small Signal'!$B$6*'Small Signal'!$B$51),IMSUM(IMSUM(IMPRODUCT(M207,('Small Signal'!$B$5+'Small Signal'!$B$6)*('Small Signal'!$B$57*'Small Signal'!$B$58)+'Small Signal'!$B$5*'Small Signal'!$B$58*('Small Signal'!$B$8+'Small Signal'!$B$9)+'Small Signal'!$B$6*'Small Signal'!$B$58*('Small Signal'!$B$8+'Small Signal'!$B$9)+'Small Signal'!$B$7*'Small Signal'!$B$8*('Small Signal'!$B$5+'Small Signal'!$B$6)),'Small Signal'!$B$6+'Small Signal'!$B$5),IMPRODUCT(IMPOWER(M207,2),'Small Signal'!$B$57*'Small Signal'!$B$58*'Small Signal'!$B$8*'Small Signal'!$B$7*('Small Signal'!$B$5+'Small Signal'!$B$6)+('Small Signal'!$B$5+'Small Signal'!$B$6)*('Small Signal'!$B$9*'Small Signal'!$B$8*'Small Signal'!$B$58*'Small Signal'!$B$7)))),-1)</f>
        <v>-0.0119507871229295+0.283549698764036i</v>
      </c>
      <c r="Y207" s="195">
        <f t="shared" si="103"/>
        <v>-3.9356019933758546</v>
      </c>
      <c r="Z207" s="195">
        <f t="shared" si="104"/>
        <v>93.889010167083924</v>
      </c>
      <c r="AA207" s="195" t="str">
        <f t="shared" si="105"/>
        <v>2.23903702741865+0.0576766844049948i</v>
      </c>
      <c r="AB207" s="195" t="str">
        <f t="shared" si="106"/>
        <v>9.09692381322166E-06-0.000051764024525093i</v>
      </c>
      <c r="AC207" s="192">
        <f t="shared" si="107"/>
        <v>-85.587341471666761</v>
      </c>
      <c r="AD207" s="195">
        <f t="shared" si="108"/>
        <v>-80.032712858679389</v>
      </c>
      <c r="AE207" s="195" t="str">
        <f t="shared" si="109"/>
        <v>0.0000501712045861866-6.18429774674106E-07i</v>
      </c>
      <c r="AF207" s="192">
        <f t="shared" si="110"/>
        <v>-85.990249616654239</v>
      </c>
      <c r="AG207" s="195">
        <f t="shared" si="111"/>
        <v>-0.70621428939386111</v>
      </c>
      <c r="AI207" s="195" t="str">
        <f t="shared" si="112"/>
        <v>0.002-0.000116803754454358i</v>
      </c>
      <c r="AJ207" s="195">
        <f t="shared" si="113"/>
        <v>0.22500000000000001</v>
      </c>
      <c r="AK207" s="195" t="str">
        <f t="shared" si="114"/>
        <v>0.0375-0.233607508908716i</v>
      </c>
      <c r="AL207" s="195" t="str">
        <f t="shared" si="115"/>
        <v>0.00197779272358682-0.000130728613739479i</v>
      </c>
      <c r="AM207" s="195" t="str">
        <f t="shared" si="116"/>
        <v>0.0261711926647608-0.151095832513369i</v>
      </c>
      <c r="AN207" s="195" t="str">
        <f t="shared" si="117"/>
        <v>0.006+58.9686105058572i</v>
      </c>
      <c r="AO207" s="195" t="str">
        <f t="shared" si="118"/>
        <v>-0.000082217563770662-8.75499627740051E-06i</v>
      </c>
      <c r="AP207" s="195">
        <f t="shared" si="125"/>
        <v>-81.651739478290907</v>
      </c>
      <c r="AQ207" s="195">
        <f t="shared" si="126"/>
        <v>-173.92172302576333</v>
      </c>
      <c r="AS207" s="195" t="str">
        <f t="shared" si="119"/>
        <v>0.0255429241457053-0.151317180426174i</v>
      </c>
      <c r="AT207" s="195" t="str">
        <f t="shared" si="120"/>
        <v>-0.0000823149109023482-8.40831521798114E-06i</v>
      </c>
      <c r="AU207" s="195">
        <f t="shared" si="127"/>
        <v>-81.645349193690123</v>
      </c>
      <c r="AV207" s="195">
        <f t="shared" si="128"/>
        <v>-174.16757208993315</v>
      </c>
    </row>
    <row r="208" spans="6:48" x14ac:dyDescent="0.2">
      <c r="F208" s="195">
        <v>206</v>
      </c>
      <c r="G208" s="210">
        <f t="shared" si="97"/>
        <v>88.148378838694057</v>
      </c>
      <c r="H208" s="210">
        <f t="shared" si="98"/>
        <v>87.013341229676939</v>
      </c>
      <c r="I208" s="196">
        <f t="shared" si="99"/>
        <v>0</v>
      </c>
      <c r="J208" s="195">
        <f t="shared" si="121"/>
        <v>0</v>
      </c>
      <c r="K208" s="195">
        <f t="shared" si="122"/>
        <v>0</v>
      </c>
      <c r="L208" s="195">
        <f>10^('Small Signal'!F208/30)</f>
        <v>7356422.5445964225</v>
      </c>
      <c r="M208" s="195" t="str">
        <f t="shared" si="100"/>
        <v>46221766.0456129i</v>
      </c>
      <c r="N208" s="195">
        <f>IF(D$32=1, IF(AND('Small Signal'!$B$62&gt;=1,FCCM=0),V208+0,S208+0), 0)</f>
        <v>-82.974114583573112</v>
      </c>
      <c r="O208" s="195">
        <f>IF(D$32=1, IF(AND('Small Signal'!$B$62&gt;=1,FCCM=0),W208,T208), 0)</f>
        <v>-174.43173867849185</v>
      </c>
      <c r="P208" s="195">
        <f>IF(AND('Small Signal'!$B$62&gt;=1,FCCM=0),AF208+0,AC208+0)</f>
        <v>-87.574160778290477</v>
      </c>
      <c r="Q208" s="195">
        <f>IF(AND('Small Signal'!$B$62&gt;=1,FCCM=0),AG208,AD208)</f>
        <v>-80.829619823388285</v>
      </c>
      <c r="R208" s="195" t="str">
        <f>IMDIV(IMSUM('Small Signal'!$B$2*'Small Signal'!$B$39*'Small Signal'!$B$63,IMPRODUCT(M208,'Small Signal'!$B$2*'Small Signal'!$B$39*'Small Signal'!$B$63*'Small Signal'!$B$14*'Small Signal'!$B$15)),IMSUM(IMPRODUCT('Small Signal'!$B$12*'Small Signal'!$B$14*('Small Signal'!$B$15+'Small Signal'!$B$39),IMPOWER(M208,2)),IMSUM(IMPRODUCT(M208,('Small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-0.0000133900879327089-0.000305469439170793i</v>
      </c>
      <c r="S208" s="195">
        <f t="shared" si="123"/>
        <v>-82.974114583573112</v>
      </c>
      <c r="T208" s="195">
        <f t="shared" si="124"/>
        <v>-174.43173867849185</v>
      </c>
      <c r="U208" s="195" t="str">
        <f>IMDIV(IMSUM('Small Signal'!$B$75,IMPRODUCT(M208,'Small Signal'!$B$76)),IMSUM(IMPRODUCT('Small Signal'!$B$79,IMPOWER(M208,2)),IMSUM(IMPRODUCT(M208,'Small Signal'!$B$78),'Small Signal'!$B$77)))</f>
        <v>-8.25227184231329E-06-0.000163486626491317i</v>
      </c>
      <c r="V208" s="195">
        <f t="shared" si="101"/>
        <v>-75.719304031323617</v>
      </c>
      <c r="W208" s="195">
        <f t="shared" si="102"/>
        <v>-92.889651614692326</v>
      </c>
      <c r="X208" s="195" t="str">
        <f>IMPRODUCT(IMDIV(IMSUM(IMPRODUCT(M208,'Small Signal'!$B$58*'Small Signal'!$B$6*'Small Signal'!$B$51*'Small Signal'!$B$7*'Small Signal'!$B$8),'Small Signal'!$B$58*'Small Signal'!$B$6*'Small Signal'!$B$51),IMSUM(IMSUM(IMPRODUCT(M208,('Small Signal'!$B$5+'Small Signal'!$B$6)*('Small Signal'!$B$57*'Small Signal'!$B$58)+'Small Signal'!$B$5*'Small Signal'!$B$58*('Small Signal'!$B$8+'Small Signal'!$B$9)+'Small Signal'!$B$6*'Small Signal'!$B$58*('Small Signal'!$B$8+'Small Signal'!$B$9)+'Small Signal'!$B$7*'Small Signal'!$B$8*('Small Signal'!$B$5+'Small Signal'!$B$6)),'Small Signal'!$B$6+'Small Signal'!$B$5),IMPRODUCT(IMPOWER(M208,2),'Small Signal'!$B$57*'Small Signal'!$B$58*'Small Signal'!$B$8*'Small Signal'!$B$7*('Small Signal'!$B$5+'Small Signal'!$B$6)+('Small Signal'!$B$5+'Small Signal'!$B$6)*('Small Signal'!$B$9*'Small Signal'!$B$8*'Small Signal'!$B$58*'Small Signal'!$B$7)))),-1)</f>
        <v>-0.010252862998122+0.262668668226511i</v>
      </c>
      <c r="Y208" s="195">
        <f t="shared" si="103"/>
        <v>-4.6000461947173461</v>
      </c>
      <c r="Z208" s="195">
        <f t="shared" si="104"/>
        <v>93.602118855103569</v>
      </c>
      <c r="AA208" s="195" t="str">
        <f t="shared" si="105"/>
        <v>2.23941838054678+0.0534318979130453i</v>
      </c>
      <c r="AB208" s="195" t="str">
        <f t="shared" si="106"/>
        <v>6.66347631183257E-06-0.0000412767383182533i</v>
      </c>
      <c r="AC208" s="192">
        <f t="shared" si="107"/>
        <v>-87.574160778290477</v>
      </c>
      <c r="AD208" s="195">
        <f t="shared" si="108"/>
        <v>-80.829619823388285</v>
      </c>
      <c r="AE208" s="195" t="str">
        <f t="shared" si="109"/>
        <v>0.0000430274238659418-4.91407271222952E-07i</v>
      </c>
      <c r="AF208" s="192">
        <f t="shared" si="110"/>
        <v>-87.324526670704444</v>
      </c>
      <c r="AG208" s="195">
        <f t="shared" si="111"/>
        <v>-0.65433474926160673</v>
      </c>
      <c r="AI208" s="195" t="str">
        <f t="shared" si="112"/>
        <v>0.002-0.000108174144515938i</v>
      </c>
      <c r="AJ208" s="195">
        <f t="shared" si="113"/>
        <v>0.22500000000000001</v>
      </c>
      <c r="AK208" s="195" t="str">
        <f t="shared" si="114"/>
        <v>0.0375-0.216348289031876i</v>
      </c>
      <c r="AL208" s="195" t="str">
        <f t="shared" si="115"/>
        <v>0.0019773495287922-0.00012345393069966i</v>
      </c>
      <c r="AM208" s="195" t="str">
        <f t="shared" si="116"/>
        <v>0.0225403537542052-0.140515111493075i</v>
      </c>
      <c r="AN208" s="195" t="str">
        <f t="shared" si="117"/>
        <v>0.006+63.6728409812014i</v>
      </c>
      <c r="AO208" s="195" t="str">
        <f t="shared" si="118"/>
        <v>-0.0000706708177008814-6.88981233156991E-06i</v>
      </c>
      <c r="AP208" s="195">
        <f t="shared" si="125"/>
        <v>-82.974114583573112</v>
      </c>
      <c r="AQ208" s="195">
        <f t="shared" si="126"/>
        <v>-174.43173867849185</v>
      </c>
      <c r="AS208" s="195" t="str">
        <f t="shared" si="119"/>
        <v>0.0219947773619263-0.140692365039921i</v>
      </c>
      <c r="AT208" s="195" t="str">
        <f t="shared" si="120"/>
        <v>-0.0000707425111342287-6.61206213952343E-06i</v>
      </c>
      <c r="AU208" s="195">
        <f t="shared" si="127"/>
        <v>-82.968615335862012</v>
      </c>
      <c r="AV208" s="195">
        <f t="shared" si="128"/>
        <v>-174.66027141536637</v>
      </c>
    </row>
    <row r="209" spans="6:48" x14ac:dyDescent="0.2">
      <c r="F209" s="195">
        <v>207</v>
      </c>
      <c r="G209" s="210">
        <f t="shared" si="97"/>
        <v>87.863647634356624</v>
      </c>
      <c r="H209" s="210">
        <f t="shared" si="98"/>
        <v>86.8123638868163</v>
      </c>
      <c r="I209" s="196">
        <f t="shared" si="99"/>
        <v>0</v>
      </c>
      <c r="J209" s="195">
        <f t="shared" si="121"/>
        <v>0</v>
      </c>
      <c r="K209" s="195">
        <f t="shared" si="122"/>
        <v>0</v>
      </c>
      <c r="L209" s="195">
        <f>10^('Small Signal'!F209/30)</f>
        <v>7943282.3472428275</v>
      </c>
      <c r="M209" s="195" t="str">
        <f t="shared" si="100"/>
        <v>49909114.9349751i</v>
      </c>
      <c r="N209" s="195">
        <f>IF(D$32=1, IF(AND('Small Signal'!$B$62&gt;=1,FCCM=0),V209+0,S209+0), 0)</f>
        <v>-84.298569338949704</v>
      </c>
      <c r="O209" s="195">
        <f>IF(D$32=1, IF(AND('Small Signal'!$B$62&gt;=1,FCCM=0),W209,T209), 0)</f>
        <v>-174.91073045485214</v>
      </c>
      <c r="P209" s="195">
        <f>IF(AND('Small Signal'!$B$62&gt;=1,FCCM=0),AF209+0,AC209+0)</f>
        <v>-89.56337544223787</v>
      </c>
      <c r="Q209" s="195">
        <f>IF(AND('Small Signal'!$B$62&gt;=1,FCCM=0),AG209,AD209)</f>
        <v>-81.5743961021427</v>
      </c>
      <c r="R209" s="195" t="str">
        <f>IMDIV(IMSUM('Small Signal'!$B$2*'Small Signal'!$B$39*'Small Signal'!$B$63,IMPRODUCT(M209,'Small Signal'!$B$2*'Small Signal'!$B$39*'Small Signal'!$B$63*'Small Signal'!$B$14*'Small Signal'!$B$15)),IMSUM(IMPRODUCT('Small Signal'!$B$12*'Small Signal'!$B$14*('Small Signal'!$B$15+'Small Signal'!$B$39),IMPOWER(M209,2)),IMSUM(IMPRODUCT(M209,('Small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-0.0000114847865531679-0.000282882665919413i</v>
      </c>
      <c r="S209" s="195">
        <f t="shared" si="123"/>
        <v>-84.298569338949704</v>
      </c>
      <c r="T209" s="195">
        <f t="shared" si="124"/>
        <v>-174.91073045485214</v>
      </c>
      <c r="U209" s="195" t="str">
        <f>IMDIV(IMSUM('Small Signal'!$B$75,IMPRODUCT(M209,'Small Signal'!$B$76)),IMSUM(IMPRODUCT('Small Signal'!$B$79,IMPOWER(M209,2)),IMSUM(IMPRODUCT(M209,'Small Signal'!$B$78),'Small Signal'!$B$77)))</f>
        <v>-7.07795006963992E-06-0.000151404048617186i</v>
      </c>
      <c r="V209" s="195">
        <f t="shared" si="101"/>
        <v>-76.387769315081982</v>
      </c>
      <c r="W209" s="195">
        <f t="shared" si="102"/>
        <v>-92.676557403576822</v>
      </c>
      <c r="X209" s="195" t="str">
        <f>IMPRODUCT(IMDIV(IMSUM(IMPRODUCT(M209,'Small Signal'!$B$58*'Small Signal'!$B$6*'Small Signal'!$B$51*'Small Signal'!$B$7*'Small Signal'!$B$8),'Small Signal'!$B$58*'Small Signal'!$B$6*'Small Signal'!$B$51),IMSUM(IMSUM(IMPRODUCT(M209,('Small Signal'!$B$5+'Small Signal'!$B$6)*('Small Signal'!$B$57*'Small Signal'!$B$58)+'Small Signal'!$B$5*'Small Signal'!$B$58*('Small Signal'!$B$8+'Small Signal'!$B$9)+'Small Signal'!$B$6*'Small Signal'!$B$58*('Small Signal'!$B$8+'Small Signal'!$B$9)+'Small Signal'!$B$7*'Small Signal'!$B$8*('Small Signal'!$B$5+'Small Signal'!$B$6)),'Small Signal'!$B$6+'Small Signal'!$B$5),IMPRODUCT(IMPOWER(M209,2),'Small Signal'!$B$57*'Small Signal'!$B$58*'Small Signal'!$B$8*'Small Signal'!$B$7*('Small Signal'!$B$5+'Small Signal'!$B$6)+('Small Signal'!$B$5+'Small Signal'!$B$6)*('Small Signal'!$B$9*'Small Signal'!$B$8*'Small Signal'!$B$58*'Small Signal'!$B$7)))),-1)</f>
        <v>-0.0087958418733789+0.243316399481646i</v>
      </c>
      <c r="Y209" s="195">
        <f t="shared" si="103"/>
        <v>-5.2648061032881781</v>
      </c>
      <c r="Z209" s="195">
        <f t="shared" si="104"/>
        <v>93.336334352709457</v>
      </c>
      <c r="AA209" s="195" t="str">
        <f t="shared" si="105"/>
        <v>2.23974565262589+0.0494973478071802i</v>
      </c>
      <c r="AB209" s="195" t="str">
        <f t="shared" si="106"/>
        <v>4.87240333476361E-06-0.0000328941287919932i</v>
      </c>
      <c r="AC209" s="192">
        <f t="shared" si="107"/>
        <v>-89.56337544223787</v>
      </c>
      <c r="AD209" s="195">
        <f t="shared" si="108"/>
        <v>-81.5743961021427</v>
      </c>
      <c r="AE209" s="195" t="str">
        <f t="shared" si="109"/>
        <v>0.000036901344506078-3.90455256029512E-07i</v>
      </c>
      <c r="AF209" s="192">
        <f t="shared" si="110"/>
        <v>-88.658669995751268</v>
      </c>
      <c r="AG209" s="195">
        <f t="shared" si="111"/>
        <v>-0.6062273264485003</v>
      </c>
      <c r="AI209" s="195" t="str">
        <f t="shared" si="112"/>
        <v>0.002-0.000100182101135521i</v>
      </c>
      <c r="AJ209" s="195">
        <f t="shared" si="113"/>
        <v>0.22500000000000001</v>
      </c>
      <c r="AK209" s="195" t="str">
        <f t="shared" si="114"/>
        <v>0.0375-0.200364202271041i</v>
      </c>
      <c r="AL209" s="195" t="str">
        <f t="shared" si="115"/>
        <v>0.00197684039343131-0.000116881461326709i</v>
      </c>
      <c r="AM209" s="195" t="str">
        <f t="shared" si="116"/>
        <v>0.0194020327319828-0.130599907962939i</v>
      </c>
      <c r="AN209" s="195" t="str">
        <f t="shared" si="117"/>
        <v>0.006+68.7523522063432i</v>
      </c>
      <c r="AO209" s="195" t="str">
        <f t="shared" si="118"/>
        <v>-0.0000607233927463145-5.40795564911497E-06i</v>
      </c>
      <c r="AP209" s="195">
        <f t="shared" si="125"/>
        <v>-84.298569338949704</v>
      </c>
      <c r="AQ209" s="195">
        <f t="shared" si="126"/>
        <v>-174.91073045485214</v>
      </c>
      <c r="AS209" s="195" t="str">
        <f t="shared" si="119"/>
        <v>0.0189290930161703-0.130741691239264i</v>
      </c>
      <c r="AT209" s="195" t="str">
        <f t="shared" si="120"/>
        <v>-0.0000607761054893479-5.18571472459097E-06i</v>
      </c>
      <c r="AU209" s="195">
        <f t="shared" si="127"/>
        <v>-84.293839091801374</v>
      </c>
      <c r="AV209" s="195">
        <f t="shared" si="128"/>
        <v>-175.12305609419374</v>
      </c>
    </row>
    <row r="210" spans="6:48" x14ac:dyDescent="0.2">
      <c r="F210" s="195">
        <v>208</v>
      </c>
      <c r="G210" s="210">
        <f t="shared" si="97"/>
        <v>87.599875793454018</v>
      </c>
      <c r="H210" s="210">
        <f t="shared" si="98"/>
        <v>86.626179470510493</v>
      </c>
      <c r="I210" s="196">
        <f t="shared" si="99"/>
        <v>0</v>
      </c>
      <c r="J210" s="195">
        <f t="shared" si="121"/>
        <v>0</v>
      </c>
      <c r="K210" s="195">
        <f t="shared" si="122"/>
        <v>0</v>
      </c>
      <c r="L210" s="195">
        <f>10^('Small Signal'!F210/30)</f>
        <v>8576958.9859089572</v>
      </c>
      <c r="M210" s="195" t="str">
        <f t="shared" si="100"/>
        <v>53890622.6805451i</v>
      </c>
      <c r="N210" s="195">
        <f>IF(D$32=1, IF(AND('Small Signal'!$B$62&gt;=1,FCCM=0),V210+0,S210+0), 0)</f>
        <v>-85.624900926522969</v>
      </c>
      <c r="O210" s="195">
        <f>IF(D$32=1, IF(AND('Small Signal'!$B$62&gt;=1,FCCM=0),W210,T210), 0)</f>
        <v>-175.36084758179135</v>
      </c>
      <c r="P210" s="195">
        <f>IF(AND('Small Signal'!$B$62&gt;=1,FCCM=0),AF210+0,AC210+0)</f>
        <v>-91.554737866665107</v>
      </c>
      <c r="Q210" s="195">
        <f>IF(AND('Small Signal'!$B$62&gt;=1,FCCM=0),AG210,AD210)</f>
        <v>-82.270732034250145</v>
      </c>
      <c r="R210" s="195" t="str">
        <f>IMDIV(IMSUM('Small Signal'!$B$2*'Small Signal'!$B$39*'Small Signal'!$B$63,IMPRODUCT(M210,'Small Signal'!$B$2*'Small Signal'!$B$39*'Small Signal'!$B$63*'Small Signal'!$B$14*'Small Signal'!$B$15)),IMSUM(IMPRODUCT('Small Signal'!$B$12*'Small Signal'!$B$14*('Small Signal'!$B$15+'Small Signal'!$B$39),IMPOWER(M210,2)),IMSUM(IMPRODUCT(M210,('Small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-9.85057427332978E-06-0.000261968396170872i</v>
      </c>
      <c r="S210" s="195">
        <f t="shared" si="123"/>
        <v>-85.624900926522969</v>
      </c>
      <c r="T210" s="195">
        <f t="shared" si="124"/>
        <v>-175.36084758179135</v>
      </c>
      <c r="U210" s="195" t="str">
        <f>IMDIV(IMSUM('Small Signal'!$B$75,IMPRODUCT(M210,'Small Signal'!$B$76)),IMSUM(IMPRODUCT('Small Signal'!$B$79,IMPOWER(M210,2)),IMSUM(IMPRODUCT(M210,'Small Signal'!$B$78),'Small Signal'!$B$77)))</f>
        <v>-6.07073636380216E-06-0.00014021496511498i</v>
      </c>
      <c r="V210" s="195">
        <f t="shared" si="101"/>
        <v>-77.055979244840685</v>
      </c>
      <c r="W210" s="195">
        <f t="shared" si="102"/>
        <v>-92.479125373447999</v>
      </c>
      <c r="X210" s="195" t="str">
        <f>IMPRODUCT(IMDIV(IMSUM(IMPRODUCT(M210,'Small Signal'!$B$58*'Small Signal'!$B$6*'Small Signal'!$B$51*'Small Signal'!$B$7*'Small Signal'!$B$8),'Small Signal'!$B$58*'Small Signal'!$B$6*'Small Signal'!$B$51),IMSUM(IMSUM(IMPRODUCT(M210,('Small Signal'!$B$5+'Small Signal'!$B$6)*('Small Signal'!$B$57*'Small Signal'!$B$58)+'Small Signal'!$B$5*'Small Signal'!$B$58*('Small Signal'!$B$8+'Small Signal'!$B$9)+'Small Signal'!$B$6*'Small Signal'!$B$58*('Small Signal'!$B$8+'Small Signal'!$B$9)+'Small Signal'!$B$7*'Small Signal'!$B$8*('Small Signal'!$B$5+'Small Signal'!$B$6)),'Small Signal'!$B$6+'Small Signal'!$B$5),IMPRODUCT(IMPOWER(M210,2),'Small Signal'!$B$57*'Small Signal'!$B$58*'Small Signal'!$B$8*'Small Signal'!$B$7*('Small Signal'!$B$5+'Small Signal'!$B$6)+('Small Signal'!$B$5+'Small Signal'!$B$6)*('Small Signal'!$B$9*'Small Signal'!$B$8*'Small Signal'!$B$58*'Small Signal'!$B$7)))),-1)</f>
        <v>-0.00754563185825707+0.225382807395888i</v>
      </c>
      <c r="Y210" s="195">
        <f t="shared" si="103"/>
        <v>-5.9298369401421427</v>
      </c>
      <c r="Z210" s="195">
        <f t="shared" si="104"/>
        <v>93.090115547541203</v>
      </c>
      <c r="AA210" s="195" t="str">
        <f t="shared" si="105"/>
        <v>2.2400264902688+0.0458508049557327i</v>
      </c>
      <c r="AB210" s="195" t="str">
        <f t="shared" si="106"/>
        <v>0.000003555992198938-0.0000261998826386118i</v>
      </c>
      <c r="AC210" s="192">
        <f t="shared" si="107"/>
        <v>-91.554737866665107</v>
      </c>
      <c r="AD210" s="195">
        <f t="shared" si="108"/>
        <v>-82.270732034250145</v>
      </c>
      <c r="AE210" s="195" t="str">
        <f t="shared" si="109"/>
        <v>0.0000316478500182405-3.10229096858039E-07i</v>
      </c>
      <c r="AF210" s="192">
        <f t="shared" si="110"/>
        <v>-89.992698472684452</v>
      </c>
      <c r="AG210" s="195">
        <f t="shared" si="111"/>
        <v>-0.56162578593252099</v>
      </c>
      <c r="AI210" s="195" t="str">
        <f t="shared" si="112"/>
        <v>0.002-0.0000927805200848986i</v>
      </c>
      <c r="AJ210" s="195">
        <f t="shared" si="113"/>
        <v>0.22500000000000001</v>
      </c>
      <c r="AK210" s="195" t="str">
        <f t="shared" si="114"/>
        <v>0.0375-0.185561040169797i</v>
      </c>
      <c r="AL210" s="195" t="str">
        <f t="shared" si="115"/>
        <v>0.00197625569858664-0.000110966400182833i</v>
      </c>
      <c r="AM210" s="195" t="str">
        <f t="shared" si="116"/>
        <v>0.016692337420196-0.121323834034803i</v>
      </c>
      <c r="AN210" s="195" t="str">
        <f t="shared" si="117"/>
        <v>0.006+74.2370822640162i</v>
      </c>
      <c r="AO210" s="195" t="str">
        <f t="shared" si="118"/>
        <v>-0.0000521590653837299-4.23249376858374E-06i</v>
      </c>
      <c r="AP210" s="195">
        <f t="shared" si="125"/>
        <v>-85.624900926522969</v>
      </c>
      <c r="AQ210" s="195">
        <f t="shared" si="126"/>
        <v>-175.36084758179135</v>
      </c>
      <c r="AS210" s="195" t="str">
        <f t="shared" si="119"/>
        <v>0.0162829798269859-0.121437134669491i</v>
      </c>
      <c r="AT210" s="195" t="str">
        <f t="shared" si="120"/>
        <v>-0.0000521977580653905-4.05486543334172E-06i</v>
      </c>
      <c r="AU210" s="195">
        <f t="shared" si="127"/>
        <v>-85.620833781206187</v>
      </c>
      <c r="AV210" s="195">
        <f t="shared" si="128"/>
        <v>-175.55802709438674</v>
      </c>
    </row>
    <row r="211" spans="6:48" x14ac:dyDescent="0.2">
      <c r="F211" s="195">
        <v>209</v>
      </c>
      <c r="G211" s="210">
        <f t="shared" si="97"/>
        <v>87.355530605728006</v>
      </c>
      <c r="H211" s="210">
        <f t="shared" si="98"/>
        <v>86.453706458038852</v>
      </c>
      <c r="I211" s="196">
        <f t="shared" si="99"/>
        <v>0</v>
      </c>
      <c r="J211" s="195">
        <f t="shared" si="121"/>
        <v>0</v>
      </c>
      <c r="K211" s="195">
        <f t="shared" si="122"/>
        <v>0</v>
      </c>
      <c r="L211" s="195">
        <f>10^('Small Signal'!F211/30)</f>
        <v>9261187.2812879551</v>
      </c>
      <c r="M211" s="195" t="str">
        <f t="shared" si="100"/>
        <v>58189755.8528269i</v>
      </c>
      <c r="N211" s="195">
        <f>IF(D$32=1, IF(AND('Small Signal'!$B$62&gt;=1,FCCM=0),V211+0,S211+0), 0)</f>
        <v>-86.952943234544676</v>
      </c>
      <c r="O211" s="195">
        <f>IF(D$32=1, IF(AND('Small Signal'!$B$62&gt;=1,FCCM=0),W211,T211), 0)</f>
        <v>-175.78413118122501</v>
      </c>
      <c r="P211" s="195">
        <f>IF(AND('Small Signal'!$B$62&gt;=1,FCCM=0),AF211+0,AC211+0)</f>
        <v>-93.548043494193251</v>
      </c>
      <c r="Q211" s="195">
        <f>IF(AND('Small Signal'!$B$62&gt;=1,FCCM=0),AG211,AD211)</f>
        <v>-82.922099743767632</v>
      </c>
      <c r="R211" s="195" t="str">
        <f>IMDIV(IMSUM('Small Signal'!$B$2*'Small Signal'!$B$39*'Small Signal'!$B$63,IMPRODUCT(M211,'Small Signal'!$B$2*'Small Signal'!$B$39*'Small Signal'!$B$63*'Small Signal'!$B$14*'Small Signal'!$B$15)),IMSUM(IMPRODUCT('Small Signal'!$B$12*'Small Signal'!$B$14*('Small Signal'!$B$15+'Small Signal'!$B$39),IMPOWER(M211,2)),IMSUM(IMPRODUCT(M211,('Small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-8.44888539547801E-06-0.000242602289210078i</v>
      </c>
      <c r="S211" s="195">
        <f t="shared" si="123"/>
        <v>-86.952943234544676</v>
      </c>
      <c r="T211" s="195">
        <f t="shared" si="124"/>
        <v>-175.78413118122501</v>
      </c>
      <c r="U211" s="195" t="str">
        <f>IMDIV(IMSUM('Small Signal'!$B$75,IMPRODUCT(M211,'Small Signal'!$B$76)),IMSUM(IMPRODUCT('Small Signal'!$B$79,IMPOWER(M211,2)),IMSUM(IMPRODUCT(M211,'Small Signal'!$B$78),'Small Signal'!$B$77)))</f>
        <v>-5.20685128526199E-06-0.000129853195215437i</v>
      </c>
      <c r="V211" s="195">
        <f t="shared" si="101"/>
        <v>-77.723970001123362</v>
      </c>
      <c r="W211" s="195">
        <f t="shared" si="102"/>
        <v>-92.296215096266224</v>
      </c>
      <c r="X211" s="195" t="str">
        <f>IMPRODUCT(IMDIV(IMSUM(IMPRODUCT(M211,'Small Signal'!$B$58*'Small Signal'!$B$6*'Small Signal'!$B$51*'Small Signal'!$B$7*'Small Signal'!$B$8),'Small Signal'!$B$58*'Small Signal'!$B$6*'Small Signal'!$B$51),IMSUM(IMSUM(IMPRODUCT(M211,('Small Signal'!$B$5+'Small Signal'!$B$6)*('Small Signal'!$B$57*'Small Signal'!$B$58)+'Small Signal'!$B$5*'Small Signal'!$B$58*('Small Signal'!$B$8+'Small Signal'!$B$9)+'Small Signal'!$B$6*'Small Signal'!$B$58*('Small Signal'!$B$8+'Small Signal'!$B$9)+'Small Signal'!$B$7*'Small Signal'!$B$8*('Small Signal'!$B$5+'Small Signal'!$B$6)),'Small Signal'!$B$6+'Small Signal'!$B$5),IMPRODUCT(IMPOWER(M211,2),'Small Signal'!$B$57*'Small Signal'!$B$58*'Small Signal'!$B$8*'Small Signal'!$B$7*('Small Signal'!$B$5+'Small Signal'!$B$6)+('Small Signal'!$B$5+'Small Signal'!$B$6)*('Small Signal'!$B$9*'Small Signal'!$B$8*'Small Signal'!$B$58*'Small Signal'!$B$7)))),-1)</f>
        <v>-0.00647294249157435+0.208765354185136i</v>
      </c>
      <c r="Y211" s="195">
        <f t="shared" si="103"/>
        <v>-6.5951002596485884</v>
      </c>
      <c r="Z211" s="195">
        <f t="shared" si="104"/>
        <v>92.862031437457404</v>
      </c>
      <c r="AA211" s="195" t="str">
        <f t="shared" si="105"/>
        <v>2.24026746494752+0.0424715410715993i</v>
      </c>
      <c r="AB211" s="195" t="str">
        <f t="shared" si="106"/>
        <v>2.58984927678226E-06-0.0000208581423264608i</v>
      </c>
      <c r="AC211" s="192">
        <f t="shared" si="107"/>
        <v>-93.548043494193251</v>
      </c>
      <c r="AD211" s="195">
        <f t="shared" si="108"/>
        <v>-82.922099743767632</v>
      </c>
      <c r="AE211" s="195" t="str">
        <f t="shared" si="109"/>
        <v>0.000027142551940154-2.46477887780349E-07i</v>
      </c>
      <c r="AF211" s="192">
        <f t="shared" si="110"/>
        <v>-91.326628334879899</v>
      </c>
      <c r="AG211" s="195">
        <f t="shared" si="111"/>
        <v>-0.52028101789314707</v>
      </c>
      <c r="AI211" s="195" t="str">
        <f t="shared" si="112"/>
        <v>0.002-0.0000859257772561541i</v>
      </c>
      <c r="AJ211" s="195">
        <f t="shared" si="113"/>
        <v>0.22500000000000001</v>
      </c>
      <c r="AK211" s="195" t="str">
        <f t="shared" si="114"/>
        <v>0.0375-0.171851554512308i</v>
      </c>
      <c r="AL211" s="195" t="str">
        <f t="shared" si="115"/>
        <v>0.00197558482946295-0.000105666466973749i</v>
      </c>
      <c r="AM211" s="195" t="str">
        <f t="shared" si="116"/>
        <v>0.0143548996634971-0.112658111251874i</v>
      </c>
      <c r="AN211" s="195" t="str">
        <f t="shared" si="117"/>
        <v>0.006+80.1593575523636i</v>
      </c>
      <c r="AO211" s="195" t="str">
        <f t="shared" si="118"/>
        <v>-0.0000447894894340943-3.30160669086352E-06i</v>
      </c>
      <c r="AP211" s="195">
        <f t="shared" si="125"/>
        <v>-86.952943234544676</v>
      </c>
      <c r="AQ211" s="195">
        <f t="shared" si="126"/>
        <v>-175.78413118122501</v>
      </c>
      <c r="AS211" s="195" t="str">
        <f t="shared" si="119"/>
        <v>0.0140010337337487-0.112748575067038i</v>
      </c>
      <c r="AT211" s="195" t="str">
        <f t="shared" si="120"/>
        <v>-0.0000448178426032246-3.15977231097926E-06i</v>
      </c>
      <c r="AU211" s="195">
        <f t="shared" si="127"/>
        <v>-86.94944744735912</v>
      </c>
      <c r="AV211" s="195">
        <f t="shared" si="128"/>
        <v>-175.96717431818712</v>
      </c>
    </row>
    <row r="212" spans="6:48" x14ac:dyDescent="0.2">
      <c r="F212" s="195">
        <v>210</v>
      </c>
      <c r="G212" s="210">
        <f t="shared" si="97"/>
        <v>87.129189360709475</v>
      </c>
      <c r="H212" s="210">
        <f t="shared" si="98"/>
        <v>86.293940894606266</v>
      </c>
      <c r="I212" s="196">
        <f t="shared" si="99"/>
        <v>0</v>
      </c>
      <c r="J212" s="195">
        <f t="shared" si="121"/>
        <v>0</v>
      </c>
      <c r="K212" s="195">
        <f t="shared" si="122"/>
        <v>0</v>
      </c>
      <c r="L212" s="195">
        <f>10^('Small Signal'!F212/30)</f>
        <v>10000000</v>
      </c>
      <c r="M212" s="195" t="str">
        <f t="shared" si="100"/>
        <v>62831853.0717959i</v>
      </c>
      <c r="N212" s="195">
        <f>IF(D$32=1, IF(AND('Small Signal'!$B$62&gt;=1,FCCM=0),V212+0,S212+0), 0)</f>
        <v>-88.282563030667959</v>
      </c>
      <c r="O212" s="195">
        <f>IF(D$32=1, IF(AND('Small Signal'!$B$62&gt;=1,FCCM=0),W212,T212), 0)</f>
        <v>-176.1824993961057</v>
      </c>
      <c r="P212" s="195">
        <f>IF(AND('Small Signal'!$B$62&gt;=1,FCCM=0),AF212+0,AC212+0)</f>
        <v>-95.543126089161845</v>
      </c>
      <c r="Q212" s="195">
        <f>IF(AND('Small Signal'!$B$62&gt;=1,FCCM=0),AG212,AD212)</f>
        <v>-83.531745633287386</v>
      </c>
      <c r="R212" s="195" t="str">
        <f>IMDIV(IMSUM('Small Signal'!$B$2*'Small Signal'!$B$39*'Small Signal'!$B$63,IMPRODUCT(M212,'Small Signal'!$B$2*'Small Signal'!$B$39*'Small Signal'!$B$63*'Small Signal'!$B$14*'Small Signal'!$B$15)),IMSUM(IMPRODUCT('Small Signal'!$B$12*'Small Signal'!$B$14*('Small Signal'!$B$15+'Small Signal'!$B$39),IMPOWER(M212,2)),IMSUM(IMPRODUCT(M212,('Small Signal'!$B$12+'Small Signal'!$B$14*'Small Signal'!$B$39*'Small Signal'!$B$15+'Small Signal'!$B$14*'Small Signal'!$B$39*'Small Signal'!$B$13+'Small Signal'!$B$14*'Small Signal'!$B$15*'Small Signal'!$B$13+'Small Signal'!$B$14*1*'Small Signal'!$B$63*'Small Signal'!$B$39*'Small Signal'!$B$54*'Small Signal'!$B$2+'Small Signal'!$B$14*'Small Signal'!$B$63*1*'Small Signal'!$B$15*'Small Signal'!$B$54*'Small Signal'!$B$2)),('Small Signal'!$B$13+'Small Signal'!$B$39+'Small Signal'!$B$63*1*'Small Signal'!$B$54*'Small Signal'!$B$2))))</f>
        <v>-7.24663926741771E-06-0.000224669349932117i</v>
      </c>
      <c r="S212" s="195">
        <f t="shared" si="123"/>
        <v>-88.282563030667959</v>
      </c>
      <c r="T212" s="195">
        <f t="shared" si="124"/>
        <v>-176.1824993961057</v>
      </c>
      <c r="U212" s="195" t="str">
        <f>IMDIV(IMSUM('Small Signal'!$B$75,IMPRODUCT(M212,'Small Signal'!$B$76)),IMSUM(IMPRODUCT('Small Signal'!$B$79,IMPOWER(M212,2)),IMSUM(IMPRODUCT(M212,'Small Signal'!$B$78),'Small Signal'!$B$77)))</f>
        <v>-4.46589911492931E-06-0.000120257482276197i</v>
      </c>
      <c r="V212" s="195">
        <f t="shared" si="101"/>
        <v>-78.391772657310042</v>
      </c>
      <c r="W212" s="195">
        <f t="shared" si="102"/>
        <v>-92.126766977480216</v>
      </c>
      <c r="X212" s="195" t="str">
        <f>IMPRODUCT(IMDIV(IMSUM(IMPRODUCT(M212,'Small Signal'!$B$58*'Small Signal'!$B$6*'Small Signal'!$B$51*'Small Signal'!$B$7*'Small Signal'!$B$8),'Small Signal'!$B$58*'Small Signal'!$B$6*'Small Signal'!$B$51),IMSUM(IMSUM(IMPRODUCT(M212,('Small Signal'!$B$5+'Small Signal'!$B$6)*('Small Signal'!$B$57*'Small Signal'!$B$58)+'Small Signal'!$B$5*'Small Signal'!$B$58*('Small Signal'!$B$8+'Small Signal'!$B$9)+'Small Signal'!$B$6*'Small Signal'!$B$58*('Small Signal'!$B$8+'Small Signal'!$B$9)+'Small Signal'!$B$7*'Small Signal'!$B$8*('Small Signal'!$B$5+'Small Signal'!$B$6)),'Small Signal'!$B$6+'Small Signal'!$B$5),IMPRODUCT(IMPOWER(M212,2),'Small Signal'!$B$57*'Small Signal'!$B$58*'Small Signal'!$B$8*'Small Signal'!$B$7*('Small Signal'!$B$5+'Small Signal'!$B$6)+('Small Signal'!$B$5+'Small Signal'!$B$6)*('Small Signal'!$B$9*'Small Signal'!$B$8*'Small Signal'!$B$58*'Small Signal'!$B$7)))),-1)</f>
        <v>-0.00555261464323526+0.193368611448505i</v>
      </c>
      <c r="Y212" s="195">
        <f t="shared" si="103"/>
        <v>-7.2605630584938865</v>
      </c>
      <c r="Z212" s="195">
        <f t="shared" si="104"/>
        <v>92.650753762818312</v>
      </c>
      <c r="AA212" s="195" t="str">
        <f t="shared" si="105"/>
        <v>2.24047422256748+0.0393402466845886i</v>
      </c>
      <c r="AB212" s="195" t="str">
        <f t="shared" si="106"/>
        <v>1.88185115806183E-06-0.0000165985566527271i</v>
      </c>
      <c r="AC212" s="192">
        <f t="shared" si="107"/>
        <v>-95.543126089161845</v>
      </c>
      <c r="AD212" s="195">
        <f t="shared" si="108"/>
        <v>-83.531745633287386</v>
      </c>
      <c r="AE212" s="195" t="str">
        <f t="shared" si="109"/>
        <v>0.0000232788197808622-1.95821253677572E-07i</v>
      </c>
      <c r="AF212" s="192">
        <f t="shared" si="110"/>
        <v>-92.660473534615051</v>
      </c>
      <c r="AG212" s="195">
        <f t="shared" si="111"/>
        <v>-0.48196029048861266</v>
      </c>
      <c r="AI212" s="195" t="str">
        <f t="shared" si="112"/>
        <v>0.002-0.0000795774715459475i</v>
      </c>
      <c r="AJ212" s="195">
        <f t="shared" si="113"/>
        <v>0.22500000000000001</v>
      </c>
      <c r="AK212" s="195" t="str">
        <f t="shared" si="114"/>
        <v>0.0375-0.159154943091895i</v>
      </c>
      <c r="AL212" s="195" t="str">
        <f t="shared" si="115"/>
        <v>0.00197481616777928-0.000100941400324084i</v>
      </c>
      <c r="AM212" s="195" t="str">
        <f t="shared" si="116"/>
        <v>0.0123401942128658-0.104572534186574i</v>
      </c>
      <c r="AN212" s="195" t="str">
        <f t="shared" si="117"/>
        <v>0.006+86.5540833131882i</v>
      </c>
      <c r="AO212" s="195" t="str">
        <f t="shared" ref="AO212" si="129">IMDIV(IMPRODUCT(AL212,AM212),IMPRODUCT(Ri,IMSUM(AM212,AL212,AN212)))</f>
        <v>-0.0000384509572374754-2.56570639584535E-06i</v>
      </c>
      <c r="AP212" s="195">
        <f t="shared" ref="AP212" si="130">20*LOG(IMABS(AO212))</f>
        <v>-88.282563030667959</v>
      </c>
      <c r="AQ212" s="195">
        <f t="shared" ref="AQ212" si="131">(180/PI())*IMARGUMENT(AO212)</f>
        <v>-176.1824993961057</v>
      </c>
      <c r="AS212" s="195" t="str">
        <f t="shared" si="119"/>
        <v>0.0120346369467476-0.104644711873082i</v>
      </c>
      <c r="AT212" s="195" t="str">
        <f t="shared" si="120"/>
        <v>-0.0000384716969226141-2.45254843079161E-06i</v>
      </c>
      <c r="AU212" s="195">
        <f t="shared" si="127"/>
        <v>-88.279559233470891</v>
      </c>
      <c r="AV212" s="195">
        <f t="shared" si="128"/>
        <v>-176.3523631646448</v>
      </c>
    </row>
  </sheetData>
  <sheetProtection sheet="1" objects="1" scenarios="1"/>
  <phoneticPr fontId="2" type="noConversion"/>
  <conditionalFormatting sqref="C19">
    <cfRule type="cellIs" dxfId="2" priority="8" operator="greaterThan">
      <formula>fsw/5</formula>
    </cfRule>
  </conditionalFormatting>
  <conditionalFormatting sqref="C20">
    <cfRule type="cellIs" dxfId="1" priority="7" operator="lessThan">
      <formula>60</formula>
    </cfRule>
  </conditionalFormatting>
  <conditionalFormatting sqref="C21">
    <cfRule type="cellIs" dxfId="0" priority="6" operator="greaterThan">
      <formula>-10</formula>
    </cfRule>
  </conditionalFormatting>
  <dataValidations count="1">
    <dataValidation type="list" allowBlank="1" showInputMessage="1" showErrorMessage="1" sqref="C32:C33">
      <formula1>$B$35:$B$36</formula1>
    </dataValidation>
  </dataValidations>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Normal="100" workbookViewId="0">
      <selection activeCell="F9" sqref="F9"/>
    </sheetView>
  </sheetViews>
  <sheetFormatPr defaultColWidth="0" defaultRowHeight="12.75" zeroHeight="1" x14ac:dyDescent="0.2"/>
  <cols>
    <col min="1" max="1" width="25" style="103" bestFit="1" customWidth="1"/>
    <col min="2" max="2" width="10.85546875" style="103" bestFit="1" customWidth="1"/>
    <col min="3" max="3" width="10.140625" style="103" bestFit="1" customWidth="1"/>
    <col min="4" max="4" width="10.7109375" style="103" bestFit="1" customWidth="1"/>
    <col min="5" max="5" width="10.140625" style="103" bestFit="1" customWidth="1"/>
    <col min="6" max="6" width="9.140625" style="103" customWidth="1"/>
    <col min="7" max="7" width="18.7109375" style="103" bestFit="1" customWidth="1"/>
    <col min="8" max="8" width="0" style="103" hidden="1" customWidth="1"/>
    <col min="9" max="16384" width="9.140625" style="103" hidden="1"/>
  </cols>
  <sheetData>
    <row r="1" spans="1:7" x14ac:dyDescent="0.2">
      <c r="A1" s="113"/>
    </row>
    <row r="2" spans="1:7" x14ac:dyDescent="0.2">
      <c r="A2" s="113" t="s">
        <v>216</v>
      </c>
      <c r="B2" s="182">
        <f>Vout</f>
        <v>1.8</v>
      </c>
      <c r="C2" s="113" t="s">
        <v>217</v>
      </c>
      <c r="D2" s="113"/>
      <c r="E2" s="113"/>
      <c r="G2" s="112" t="s">
        <v>122</v>
      </c>
    </row>
    <row r="3" spans="1:7" x14ac:dyDescent="0.2">
      <c r="A3" s="113"/>
      <c r="B3" s="113"/>
      <c r="C3" s="113"/>
      <c r="D3" s="113"/>
      <c r="E3" s="113"/>
      <c r="G3" s="114" t="s">
        <v>19</v>
      </c>
    </row>
    <row r="4" spans="1:7" ht="15" x14ac:dyDescent="0.25">
      <c r="A4" s="113"/>
      <c r="B4" s="4" t="s">
        <v>227</v>
      </c>
      <c r="C4" s="4" t="s">
        <v>218</v>
      </c>
      <c r="D4" s="4" t="s">
        <v>219</v>
      </c>
      <c r="E4" s="4" t="s">
        <v>220</v>
      </c>
      <c r="G4" s="115" t="s">
        <v>20</v>
      </c>
    </row>
    <row r="5" spans="1:7" x14ac:dyDescent="0.2">
      <c r="A5" s="113" t="s">
        <v>221</v>
      </c>
      <c r="B5" s="183">
        <f>Rhs</f>
        <v>7500</v>
      </c>
      <c r="C5" s="184">
        <v>0.01</v>
      </c>
      <c r="D5" s="162">
        <f>(C5+1)*B5</f>
        <v>7575</v>
      </c>
      <c r="E5" s="162">
        <f>((1-C5)*B5)</f>
        <v>7425</v>
      </c>
    </row>
    <row r="6" spans="1:7" x14ac:dyDescent="0.2">
      <c r="A6" s="113" t="s">
        <v>222</v>
      </c>
      <c r="B6" s="183">
        <f>Rls</f>
        <v>6040</v>
      </c>
      <c r="C6" s="184">
        <v>0.01</v>
      </c>
      <c r="D6" s="162">
        <f>(C6+1)*B6</f>
        <v>6100.4</v>
      </c>
      <c r="E6" s="162">
        <f>((1-C6)*B6)</f>
        <v>5979.6</v>
      </c>
    </row>
    <row r="7" spans="1:7" x14ac:dyDescent="0.2">
      <c r="A7" s="113" t="s">
        <v>228</v>
      </c>
      <c r="B7" s="163">
        <f>LOOKUP('Design Equations CCM'!B3,partdata!A2:A11,partdata!K2:K11)</f>
        <v>0.8</v>
      </c>
      <c r="C7" s="167">
        <f>LOOKUP('Design Equations CCM'!B3,partdata!A2:A11,partdata!L2:L11)</f>
        <v>0.01</v>
      </c>
      <c r="D7" s="164">
        <f>(C7+1)*B7</f>
        <v>0.80800000000000005</v>
      </c>
      <c r="E7" s="164">
        <f>((1-C7)*B7)</f>
        <v>0.79200000000000004</v>
      </c>
    </row>
    <row r="8" spans="1:7" x14ac:dyDescent="0.2">
      <c r="A8" s="113"/>
      <c r="B8" s="113"/>
      <c r="C8" s="113"/>
      <c r="D8" s="113"/>
      <c r="E8" s="113"/>
    </row>
    <row r="9" spans="1:7" x14ac:dyDescent="0.2">
      <c r="A9" s="113"/>
      <c r="B9" s="4" t="s">
        <v>39</v>
      </c>
      <c r="C9" s="113"/>
      <c r="D9" s="4" t="s">
        <v>223</v>
      </c>
      <c r="E9" s="113"/>
    </row>
    <row r="10" spans="1:7" x14ac:dyDescent="0.2">
      <c r="A10" s="113" t="s">
        <v>224</v>
      </c>
      <c r="B10" s="165">
        <f>(B7/B6)*B5+B7</f>
        <v>1.7933774834437086</v>
      </c>
      <c r="C10" s="113" t="s">
        <v>217</v>
      </c>
      <c r="D10" s="166">
        <f>(B10-$B$2)/$B$2</f>
        <v>-3.6791758646063468E-3</v>
      </c>
      <c r="E10" s="113"/>
    </row>
    <row r="11" spans="1:7" x14ac:dyDescent="0.2">
      <c r="A11" s="113" t="s">
        <v>225</v>
      </c>
      <c r="B11" s="165">
        <f>(E7/D6*E5+E7)*(1-B15)</f>
        <v>1.7559695757655238</v>
      </c>
      <c r="C11" s="113" t="s">
        <v>217</v>
      </c>
      <c r="D11" s="166">
        <f>(B11-$B$2)/$B$2</f>
        <v>-2.4461346796931238E-2</v>
      </c>
      <c r="E11" s="113"/>
    </row>
    <row r="12" spans="1:7" x14ac:dyDescent="0.2">
      <c r="A12" s="113" t="s">
        <v>226</v>
      </c>
      <c r="B12" s="165">
        <f>(D7/E6*D5+D7)</f>
        <v>1.8315801725867951</v>
      </c>
      <c r="C12" s="113" t="s">
        <v>217</v>
      </c>
      <c r="D12" s="166">
        <f>(B12-$B$2)/$B$2</f>
        <v>1.7544540325997234E-2</v>
      </c>
      <c r="E12" s="113"/>
    </row>
    <row r="13" spans="1:7" x14ac:dyDescent="0.2">
      <c r="A13" s="113"/>
      <c r="C13" s="113"/>
      <c r="E13" s="113"/>
    </row>
    <row r="14" spans="1:7" x14ac:dyDescent="0.2">
      <c r="C14" s="113"/>
      <c r="E14" s="113"/>
    </row>
    <row r="15" spans="1:7" x14ac:dyDescent="0.2">
      <c r="A15" s="113" t="s">
        <v>230</v>
      </c>
      <c r="B15" s="185">
        <f>C15</f>
        <v>0</v>
      </c>
      <c r="C15" s="168">
        <f>LOOKUP('Design Equations CCM'!B3,partdata!A2:A11,partdata!M2:M11)</f>
        <v>0</v>
      </c>
      <c r="D15" s="113"/>
      <c r="E15" s="113"/>
    </row>
    <row r="16" spans="1:7" x14ac:dyDescent="0.2">
      <c r="A16" s="113"/>
      <c r="C16" s="113"/>
      <c r="D16" s="113"/>
      <c r="E16" s="113"/>
    </row>
    <row r="17" spans="1:5" hidden="1" x14ac:dyDescent="0.2">
      <c r="A17" s="113"/>
      <c r="B17" s="113"/>
      <c r="C17" s="113"/>
      <c r="D17" s="113"/>
      <c r="E17" s="113"/>
    </row>
    <row r="18" spans="1:5" hidden="1" x14ac:dyDescent="0.2">
      <c r="A18" s="113"/>
      <c r="C18" s="113"/>
      <c r="E18" s="113"/>
    </row>
    <row r="19" spans="1:5" hidden="1" x14ac:dyDescent="0.2">
      <c r="A19" s="113"/>
    </row>
  </sheetData>
  <sheetProtection sheet="1" objects="1" scenarios="1"/>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F17"/>
  <sheetViews>
    <sheetView zoomScale="70" zoomScaleNormal="70" workbookViewId="0">
      <pane xSplit="1" topLeftCell="B1" activePane="topRight" state="frozen"/>
      <selection pane="topRight" activeCell="A10" sqref="A10"/>
    </sheetView>
  </sheetViews>
  <sheetFormatPr defaultColWidth="8.7109375" defaultRowHeight="12.75" x14ac:dyDescent="0.2"/>
  <cols>
    <col min="1" max="1" width="27.28515625" style="224" bestFit="1" customWidth="1"/>
    <col min="2" max="2" width="16.7109375" style="2" hidden="1" customWidth="1"/>
    <col min="3" max="3" width="10.28515625" style="2" hidden="1" customWidth="1"/>
    <col min="4" max="4" width="12.42578125" style="2" hidden="1" customWidth="1"/>
    <col min="5" max="5" width="13.42578125" style="2" bestFit="1" customWidth="1"/>
    <col min="6" max="6" width="13.7109375" style="2" bestFit="1" customWidth="1"/>
    <col min="7" max="7" width="8.140625" style="2" bestFit="1" customWidth="1"/>
    <col min="8" max="8" width="9.5703125" style="2" bestFit="1" customWidth="1"/>
    <col min="9" max="9" width="9.85546875" style="2" bestFit="1" customWidth="1"/>
    <col min="10" max="10" width="6.5703125" style="2" bestFit="1" customWidth="1"/>
    <col min="11" max="11" width="8.42578125" style="2" bestFit="1" customWidth="1"/>
    <col min="12" max="12" width="11.42578125" style="2" bestFit="1" customWidth="1"/>
    <col min="13" max="13" width="18.140625" style="2" bestFit="1" customWidth="1"/>
    <col min="14" max="14" width="5.7109375" style="2" bestFit="1" customWidth="1"/>
    <col min="15" max="15" width="8.85546875" style="2" bestFit="1" customWidth="1"/>
    <col min="16" max="16" width="14.28515625" style="2" bestFit="1" customWidth="1"/>
    <col min="17" max="17" width="14.140625" style="2" bestFit="1" customWidth="1"/>
    <col min="18" max="18" width="10.140625" style="2" bestFit="1" customWidth="1"/>
    <col min="19" max="19" width="12.42578125" style="2" bestFit="1" customWidth="1"/>
    <col min="20" max="20" width="18.5703125" style="2" bestFit="1" customWidth="1"/>
    <col min="21" max="21" width="17.42578125" style="2" bestFit="1" customWidth="1"/>
    <col min="22" max="22" width="17.42578125" style="2" customWidth="1"/>
    <col min="23" max="23" width="20.5703125" style="2" bestFit="1" customWidth="1"/>
    <col min="24" max="24" width="11.5703125" style="2" bestFit="1" customWidth="1"/>
    <col min="25" max="25" width="7.85546875" style="2" bestFit="1" customWidth="1"/>
    <col min="26" max="26" width="7.140625" style="2" bestFit="1" customWidth="1"/>
    <col min="27" max="27" width="6" style="2" bestFit="1" customWidth="1"/>
    <col min="28" max="28" width="8.140625" style="2" bestFit="1" customWidth="1"/>
    <col min="29" max="29" width="7.140625" style="2" bestFit="1" customWidth="1"/>
    <col min="30" max="30" width="12.7109375" style="2" bestFit="1" customWidth="1"/>
    <col min="31" max="31" width="9.85546875" style="2" bestFit="1" customWidth="1"/>
  </cols>
  <sheetData>
    <row r="1" spans="1:32" s="181" customFormat="1" ht="25.5" x14ac:dyDescent="0.2">
      <c r="A1" s="113" t="s">
        <v>116</v>
      </c>
      <c r="B1" s="176" t="s">
        <v>124</v>
      </c>
      <c r="C1" s="176" t="s">
        <v>183</v>
      </c>
      <c r="D1" s="176" t="s">
        <v>184</v>
      </c>
      <c r="E1" s="176" t="s">
        <v>118</v>
      </c>
      <c r="F1" s="176" t="s">
        <v>119</v>
      </c>
      <c r="G1" s="113" t="s">
        <v>262</v>
      </c>
      <c r="H1" s="177" t="s">
        <v>0</v>
      </c>
      <c r="I1" s="177" t="s">
        <v>1</v>
      </c>
      <c r="J1" s="178" t="s">
        <v>45</v>
      </c>
      <c r="K1" s="177" t="s">
        <v>3</v>
      </c>
      <c r="L1" s="179" t="s">
        <v>229</v>
      </c>
      <c r="M1" s="179" t="s">
        <v>231</v>
      </c>
      <c r="N1" s="180" t="s">
        <v>112</v>
      </c>
      <c r="O1" s="176" t="s">
        <v>113</v>
      </c>
      <c r="P1" s="181" t="s">
        <v>11</v>
      </c>
      <c r="Q1" s="180" t="s">
        <v>188</v>
      </c>
      <c r="R1" s="176" t="s">
        <v>204</v>
      </c>
      <c r="S1" s="176" t="s">
        <v>115</v>
      </c>
      <c r="T1" s="181" t="s">
        <v>29</v>
      </c>
      <c r="U1" s="176" t="s">
        <v>83</v>
      </c>
      <c r="V1" s="113" t="s">
        <v>358</v>
      </c>
      <c r="W1" s="181" t="s">
        <v>15</v>
      </c>
      <c r="X1" s="181" t="s">
        <v>16</v>
      </c>
      <c r="Y1" s="181" t="s">
        <v>31</v>
      </c>
      <c r="Z1" s="181" t="s">
        <v>189</v>
      </c>
      <c r="AA1" s="176" t="s">
        <v>126</v>
      </c>
      <c r="AB1" s="176" t="s">
        <v>33</v>
      </c>
      <c r="AC1" s="176" t="s">
        <v>127</v>
      </c>
      <c r="AD1" s="176" t="s">
        <v>144</v>
      </c>
      <c r="AE1" s="113" t="s">
        <v>207</v>
      </c>
    </row>
    <row r="2" spans="1:32" x14ac:dyDescent="0.2">
      <c r="A2" s="222" t="s">
        <v>276</v>
      </c>
      <c r="B2" s="7"/>
      <c r="C2" s="221"/>
      <c r="D2" s="221"/>
      <c r="E2" s="5">
        <v>4.5</v>
      </c>
      <c r="F2" s="5">
        <v>17</v>
      </c>
      <c r="G2" s="5">
        <v>8</v>
      </c>
      <c r="H2" s="36">
        <v>1300</v>
      </c>
      <c r="I2" s="215">
        <v>13</v>
      </c>
      <c r="J2" s="32">
        <v>9</v>
      </c>
      <c r="K2" s="2">
        <v>0.6</v>
      </c>
      <c r="L2" s="214">
        <v>0.01</v>
      </c>
      <c r="M2" s="187">
        <v>7.0000000000000001E-3</v>
      </c>
      <c r="N2" s="37">
        <v>1.1499999999999999</v>
      </c>
      <c r="O2" s="5">
        <v>3.3</v>
      </c>
      <c r="P2" s="216">
        <v>1.22</v>
      </c>
      <c r="Q2" s="216">
        <v>1.17</v>
      </c>
      <c r="R2" s="36">
        <v>10000000</v>
      </c>
      <c r="S2" s="98">
        <v>1200</v>
      </c>
      <c r="T2" s="98">
        <v>200</v>
      </c>
      <c r="U2" s="37">
        <v>8</v>
      </c>
      <c r="V2" s="37">
        <v>0</v>
      </c>
      <c r="W2" s="36">
        <v>600</v>
      </c>
      <c r="X2" s="99">
        <v>165</v>
      </c>
      <c r="Y2" s="36">
        <v>8</v>
      </c>
      <c r="Z2" s="36">
        <v>6</v>
      </c>
      <c r="AA2" s="36">
        <f>10^((LOG(fsw/1000)-LOG(42533.5))/-0.964356)</f>
        <v>70.722687158377184</v>
      </c>
      <c r="AB2" s="36">
        <f>42533.5*(Rt/1000)^-(0.964356)</f>
        <v>725.98008138716375</v>
      </c>
      <c r="AC2" s="7">
        <v>2.2999999999999998</v>
      </c>
      <c r="AD2" s="37">
        <v>6</v>
      </c>
      <c r="AE2" s="2">
        <v>0</v>
      </c>
    </row>
    <row r="3" spans="1:32" x14ac:dyDescent="0.2">
      <c r="A3" s="222" t="s">
        <v>274</v>
      </c>
      <c r="B3" s="7"/>
      <c r="C3" s="221"/>
      <c r="D3" s="221"/>
      <c r="E3" s="5">
        <v>4.5</v>
      </c>
      <c r="F3" s="5">
        <v>17</v>
      </c>
      <c r="G3" s="5">
        <v>8</v>
      </c>
      <c r="H3" s="36">
        <v>1300</v>
      </c>
      <c r="I3" s="215">
        <v>20</v>
      </c>
      <c r="J3" s="32">
        <v>9</v>
      </c>
      <c r="K3" s="2">
        <v>0.6</v>
      </c>
      <c r="L3" s="214">
        <v>0.01</v>
      </c>
      <c r="M3" s="187">
        <v>7.0000000000000001E-3</v>
      </c>
      <c r="N3" s="37">
        <v>1.1499999999999999</v>
      </c>
      <c r="O3" s="5">
        <v>3.3</v>
      </c>
      <c r="P3" s="216">
        <v>1.22</v>
      </c>
      <c r="Q3" s="216">
        <v>1.17</v>
      </c>
      <c r="R3" s="36">
        <v>10000000</v>
      </c>
      <c r="S3" s="98">
        <v>1200</v>
      </c>
      <c r="T3" s="98">
        <v>200</v>
      </c>
      <c r="U3" s="37">
        <v>15.1</v>
      </c>
      <c r="V3" s="37">
        <v>0</v>
      </c>
      <c r="W3" s="36">
        <v>600</v>
      </c>
      <c r="X3" s="99">
        <v>165</v>
      </c>
      <c r="Y3" s="36">
        <v>8</v>
      </c>
      <c r="Z3" s="36">
        <v>6</v>
      </c>
      <c r="AA3" s="36">
        <f>10^((LOG(fsw/1000)-LOG(42533.5))/-0.964356)</f>
        <v>70.722687158377184</v>
      </c>
      <c r="AB3" s="36">
        <f>42533.5*(Rt/1000)^-(0.964356)</f>
        <v>725.98008138716375</v>
      </c>
      <c r="AC3" s="7">
        <v>2.2999999999999998</v>
      </c>
      <c r="AD3" s="37">
        <v>6</v>
      </c>
      <c r="AE3" s="2">
        <v>0</v>
      </c>
      <c r="AF3" s="2"/>
    </row>
    <row r="4" spans="1:32" x14ac:dyDescent="0.2">
      <c r="A4" s="222" t="s">
        <v>275</v>
      </c>
      <c r="B4" s="7"/>
      <c r="C4" s="221"/>
      <c r="D4" s="221"/>
      <c r="E4" s="5">
        <v>4.5</v>
      </c>
      <c r="F4" s="5">
        <v>17</v>
      </c>
      <c r="G4" s="5">
        <v>8</v>
      </c>
      <c r="H4" s="36">
        <v>1300</v>
      </c>
      <c r="I4" s="215">
        <v>17</v>
      </c>
      <c r="J4" s="32">
        <v>9</v>
      </c>
      <c r="K4" s="2">
        <v>0.6</v>
      </c>
      <c r="L4" s="214">
        <v>0.01</v>
      </c>
      <c r="M4" s="187">
        <v>7.0000000000000001E-3</v>
      </c>
      <c r="N4" s="37">
        <v>1.1499999999999999</v>
      </c>
      <c r="O4" s="5">
        <v>3.3</v>
      </c>
      <c r="P4" s="216">
        <v>1.22</v>
      </c>
      <c r="Q4" s="216">
        <v>1.17</v>
      </c>
      <c r="R4" s="36">
        <v>10000000</v>
      </c>
      <c r="S4" s="98">
        <v>1200</v>
      </c>
      <c r="T4" s="98">
        <v>200</v>
      </c>
      <c r="U4" s="37">
        <v>12.75</v>
      </c>
      <c r="V4" s="37">
        <v>0</v>
      </c>
      <c r="W4" s="36">
        <v>600</v>
      </c>
      <c r="X4" s="99">
        <v>165</v>
      </c>
      <c r="Y4" s="36">
        <v>8</v>
      </c>
      <c r="Z4" s="36">
        <v>6</v>
      </c>
      <c r="AA4" s="36">
        <f>10^((LOG(fsw/1000)-LOG(42533.5))/-0.964356)</f>
        <v>70.722687158377184</v>
      </c>
      <c r="AB4" s="36">
        <f>42533.5*(Rt/1000)^-(0.964356)</f>
        <v>725.98008138716375</v>
      </c>
      <c r="AC4" s="7">
        <v>2.2999999999999998</v>
      </c>
      <c r="AD4" s="37">
        <v>6</v>
      </c>
      <c r="AE4" s="2">
        <v>0</v>
      </c>
      <c r="AF4" s="2"/>
    </row>
    <row r="5" spans="1:32" x14ac:dyDescent="0.2">
      <c r="A5" s="223" t="s">
        <v>210</v>
      </c>
      <c r="B5" s="7"/>
      <c r="C5" s="221"/>
      <c r="D5" s="221"/>
      <c r="E5" s="5">
        <v>2.95</v>
      </c>
      <c r="F5" s="5">
        <v>6</v>
      </c>
      <c r="G5" s="5">
        <v>4</v>
      </c>
      <c r="H5" s="36">
        <v>260</v>
      </c>
      <c r="I5" s="215">
        <v>16</v>
      </c>
      <c r="J5" s="32">
        <v>8.4</v>
      </c>
      <c r="K5" s="2">
        <v>0.6</v>
      </c>
      <c r="L5" s="214">
        <v>0.01</v>
      </c>
      <c r="M5" s="187">
        <v>0</v>
      </c>
      <c r="N5" s="37">
        <v>1.3</v>
      </c>
      <c r="O5" s="37">
        <f>3.8-N5</f>
        <v>2.5</v>
      </c>
      <c r="P5" s="216">
        <v>1.28</v>
      </c>
      <c r="Q5" s="216">
        <v>1.2</v>
      </c>
      <c r="R5" s="36">
        <v>7000000</v>
      </c>
      <c r="S5" s="98">
        <v>2500</v>
      </c>
      <c r="T5" s="98">
        <v>100</v>
      </c>
      <c r="U5" s="37">
        <v>6.6</v>
      </c>
      <c r="V5" s="37">
        <v>-2</v>
      </c>
      <c r="W5" s="36">
        <v>650</v>
      </c>
      <c r="X5" s="99">
        <v>110</v>
      </c>
      <c r="Y5" s="36">
        <v>35</v>
      </c>
      <c r="Z5" s="36">
        <v>25</v>
      </c>
      <c r="AA5" s="36">
        <f>72540/(fsw/1000)^(1.033)</f>
        <v>83.48169837847847</v>
      </c>
      <c r="AB5" s="36">
        <f>50740*(Rt/1000)^-(0.968)</f>
        <v>852.83312118402739</v>
      </c>
      <c r="AC5" s="7">
        <v>2.2000000000000002</v>
      </c>
      <c r="AD5" s="37">
        <v>6</v>
      </c>
      <c r="AE5" s="36">
        <v>1</v>
      </c>
      <c r="AF5" s="2"/>
    </row>
    <row r="6" spans="1:32" x14ac:dyDescent="0.2">
      <c r="A6" s="222" t="s">
        <v>214</v>
      </c>
      <c r="B6" s="7"/>
      <c r="C6" s="221"/>
      <c r="D6" s="221"/>
      <c r="E6" s="5">
        <v>4.5</v>
      </c>
      <c r="F6" s="5">
        <v>17</v>
      </c>
      <c r="G6" s="5">
        <v>3</v>
      </c>
      <c r="H6" s="36">
        <v>1300</v>
      </c>
      <c r="I6" s="215">
        <v>12</v>
      </c>
      <c r="J6" s="32">
        <f>9*12/16</f>
        <v>6.75</v>
      </c>
      <c r="K6" s="2">
        <v>0.8</v>
      </c>
      <c r="L6" s="214">
        <v>0.01</v>
      </c>
      <c r="M6" s="187">
        <v>0</v>
      </c>
      <c r="N6" s="216">
        <v>1.1499999999999999</v>
      </c>
      <c r="O6" s="37">
        <v>3.4</v>
      </c>
      <c r="P6" s="216">
        <v>1.21</v>
      </c>
      <c r="Q6" s="216">
        <v>1.17</v>
      </c>
      <c r="R6" s="36">
        <v>10000000</v>
      </c>
      <c r="S6" s="98">
        <v>1600</v>
      </c>
      <c r="T6" s="98">
        <v>200</v>
      </c>
      <c r="U6" s="37">
        <v>6.2</v>
      </c>
      <c r="V6" s="37">
        <v>-1</v>
      </c>
      <c r="W6" s="36">
        <v>600</v>
      </c>
      <c r="X6" s="99">
        <v>135</v>
      </c>
      <c r="Y6" s="36">
        <v>57</v>
      </c>
      <c r="Z6" s="36">
        <v>50</v>
      </c>
      <c r="AA6" s="37">
        <f>48000*(fsw/1000)^-(0.997)-2</f>
        <v>67.932409419235967</v>
      </c>
      <c r="AB6" s="216">
        <f>43660*(Rt/1000)^-(0.973)+2</f>
        <v>720.50797265285814</v>
      </c>
      <c r="AC6" s="7">
        <v>2.2999999999999998</v>
      </c>
      <c r="AD6" s="37">
        <v>6</v>
      </c>
      <c r="AE6" s="36">
        <v>1</v>
      </c>
      <c r="AF6" s="2"/>
    </row>
    <row r="7" spans="1:32" x14ac:dyDescent="0.2">
      <c r="A7" s="224" t="s">
        <v>292</v>
      </c>
      <c r="E7" s="2">
        <v>2.95</v>
      </c>
      <c r="F7" s="2">
        <v>6</v>
      </c>
      <c r="G7" s="2">
        <v>4</v>
      </c>
      <c r="H7" s="2">
        <v>225</v>
      </c>
      <c r="I7" s="37">
        <v>13</v>
      </c>
      <c r="J7" s="2">
        <v>8.4</v>
      </c>
      <c r="K7" s="2">
        <v>0.80300000000000005</v>
      </c>
      <c r="L7" s="214">
        <v>0.01</v>
      </c>
      <c r="M7" s="187">
        <v>0</v>
      </c>
      <c r="N7" s="2">
        <v>0.65</v>
      </c>
      <c r="O7" s="2">
        <f>3.2-0.65</f>
        <v>2.5500000000000003</v>
      </c>
      <c r="P7" s="216">
        <v>1.25</v>
      </c>
      <c r="Q7" s="216">
        <v>1.18</v>
      </c>
      <c r="R7" s="2">
        <v>7000000</v>
      </c>
      <c r="S7" s="2">
        <v>2000</v>
      </c>
      <c r="T7" s="2">
        <v>200</v>
      </c>
      <c r="U7" s="2">
        <v>6.4</v>
      </c>
      <c r="V7" s="2">
        <v>-1.3</v>
      </c>
      <c r="W7" s="2">
        <v>350</v>
      </c>
      <c r="X7" s="2">
        <v>120</v>
      </c>
      <c r="Y7" s="2">
        <v>30</v>
      </c>
      <c r="Z7" s="2">
        <v>30</v>
      </c>
      <c r="AA7" s="2">
        <f>311890/((fsw/1000)^(1.0793))</f>
        <v>265.02517856124035</v>
      </c>
      <c r="AB7" s="2">
        <f>133870*(Rt/1000)^-(0.9393)</f>
        <v>2539.8506586145909</v>
      </c>
      <c r="AC7" s="2">
        <v>1.8</v>
      </c>
      <c r="AD7" s="2">
        <v>7</v>
      </c>
      <c r="AE7" s="2">
        <v>1</v>
      </c>
      <c r="AF7" s="2"/>
    </row>
    <row r="8" spans="1:32" x14ac:dyDescent="0.2">
      <c r="A8" s="224" t="s">
        <v>293</v>
      </c>
      <c r="E8" s="2">
        <v>4.5</v>
      </c>
      <c r="F8" s="2">
        <v>17</v>
      </c>
      <c r="G8" s="2">
        <v>4</v>
      </c>
      <c r="H8" s="2">
        <v>1100</v>
      </c>
      <c r="I8" s="37">
        <f>16.52*1.4</f>
        <v>23.127999999999997</v>
      </c>
      <c r="J8" s="2">
        <v>6</v>
      </c>
      <c r="K8" s="2">
        <v>0.6</v>
      </c>
      <c r="L8" s="214">
        <v>8.5000000000000006E-3</v>
      </c>
      <c r="M8" s="187">
        <v>2E-3</v>
      </c>
      <c r="N8" s="2">
        <v>1.2</v>
      </c>
      <c r="O8" s="2">
        <v>3.6</v>
      </c>
      <c r="P8" s="216">
        <v>1.2</v>
      </c>
      <c r="Q8" s="216">
        <v>1.1499999999999999</v>
      </c>
      <c r="R8" s="2">
        <v>10000000</v>
      </c>
      <c r="S8" s="2">
        <v>1600</v>
      </c>
      <c r="T8" s="2">
        <v>200</v>
      </c>
      <c r="U8" s="2">
        <v>6.8</v>
      </c>
      <c r="V8" s="2">
        <v>-2.5</v>
      </c>
      <c r="W8" s="2">
        <v>560</v>
      </c>
      <c r="X8" s="2">
        <v>130</v>
      </c>
      <c r="Y8" s="2">
        <v>14</v>
      </c>
      <c r="Z8" s="2">
        <v>6</v>
      </c>
      <c r="AA8" s="2">
        <f>58650*(fsw/1000)^-(1.028)</f>
        <v>69.744060967508986</v>
      </c>
      <c r="AB8" s="2">
        <f>43660*(Rt/1000)^-(0.973)</f>
        <v>718.50797265285814</v>
      </c>
      <c r="AC8" s="2">
        <v>5</v>
      </c>
      <c r="AD8" s="2">
        <v>6.5</v>
      </c>
      <c r="AE8" s="2">
        <v>1</v>
      </c>
      <c r="AF8" s="2"/>
    </row>
    <row r="9" spans="1:32" x14ac:dyDescent="0.2">
      <c r="A9" s="223" t="s">
        <v>187</v>
      </c>
      <c r="B9" s="7"/>
      <c r="C9" s="221"/>
      <c r="D9" s="221"/>
      <c r="E9" s="5">
        <v>2.95</v>
      </c>
      <c r="F9" s="5">
        <v>6</v>
      </c>
      <c r="G9" s="5">
        <v>4</v>
      </c>
      <c r="H9" s="36">
        <v>225</v>
      </c>
      <c r="I9" s="215">
        <v>14</v>
      </c>
      <c r="J9" s="32">
        <v>8.4</v>
      </c>
      <c r="K9" s="2">
        <v>0.6</v>
      </c>
      <c r="L9" s="214">
        <v>0.01</v>
      </c>
      <c r="M9" s="187">
        <v>0</v>
      </c>
      <c r="N9" s="37">
        <v>0.6</v>
      </c>
      <c r="O9" s="37">
        <f>3.4-N9</f>
        <v>2.8</v>
      </c>
      <c r="P9" s="216">
        <v>1.3</v>
      </c>
      <c r="Q9" s="216">
        <v>1.21</v>
      </c>
      <c r="R9" s="36">
        <v>7000000</v>
      </c>
      <c r="S9" s="98">
        <v>2000</v>
      </c>
      <c r="T9" s="98">
        <v>200</v>
      </c>
      <c r="U9" s="37">
        <v>6.5</v>
      </c>
      <c r="V9" s="37">
        <v>-1.5</v>
      </c>
      <c r="W9" s="36">
        <v>525</v>
      </c>
      <c r="X9" s="99">
        <v>120</v>
      </c>
      <c r="Y9" s="36">
        <v>30</v>
      </c>
      <c r="Z9" s="36">
        <v>30</v>
      </c>
      <c r="AA9" s="37">
        <f>90066/((fsw/1000)^(1.135))</f>
        <v>53.134255519535444</v>
      </c>
      <c r="AB9" s="37" t="s">
        <v>186</v>
      </c>
      <c r="AC9" s="7">
        <v>2.2000000000000002</v>
      </c>
      <c r="AD9" s="37">
        <v>6</v>
      </c>
      <c r="AE9" s="36">
        <v>1</v>
      </c>
      <c r="AF9" s="2"/>
    </row>
    <row r="10" spans="1:32" x14ac:dyDescent="0.2">
      <c r="A10" s="224" t="s">
        <v>372</v>
      </c>
      <c r="E10" s="2">
        <v>4.5</v>
      </c>
      <c r="F10" s="2">
        <v>17</v>
      </c>
      <c r="G10" s="2">
        <v>5</v>
      </c>
      <c r="H10" s="2">
        <v>1300</v>
      </c>
      <c r="I10" s="2">
        <v>12</v>
      </c>
      <c r="J10" s="2">
        <f>9*12/16</f>
        <v>6.75</v>
      </c>
      <c r="K10" s="2">
        <v>0.8</v>
      </c>
      <c r="L10" s="2">
        <v>0.01</v>
      </c>
      <c r="M10" s="2">
        <v>0</v>
      </c>
      <c r="N10" s="2">
        <v>1.1499999999999999</v>
      </c>
      <c r="O10" s="2">
        <v>3.4</v>
      </c>
      <c r="P10" s="2">
        <v>1.21</v>
      </c>
      <c r="Q10" s="2">
        <v>1.17</v>
      </c>
      <c r="R10" s="2">
        <v>10000000</v>
      </c>
      <c r="S10" s="2">
        <v>1600</v>
      </c>
      <c r="T10" s="2">
        <v>200</v>
      </c>
      <c r="U10" s="2">
        <v>9</v>
      </c>
      <c r="V10" s="2">
        <v>-1</v>
      </c>
      <c r="W10" s="2">
        <v>600</v>
      </c>
      <c r="X10" s="2">
        <v>135</v>
      </c>
      <c r="Y10" s="2">
        <v>57</v>
      </c>
      <c r="Z10" s="2">
        <v>50</v>
      </c>
      <c r="AA10" s="2">
        <f>60728*(fsw/1000)^-(1.033)</f>
        <v>69.888014600609878</v>
      </c>
      <c r="AB10" s="2">
        <f>43660*(Rt/1000)^-(0.973)+2</f>
        <v>720.50797265285814</v>
      </c>
      <c r="AC10" s="2">
        <v>2.2999999999999998</v>
      </c>
      <c r="AD10" s="2">
        <v>6</v>
      </c>
      <c r="AE10" s="2">
        <v>1</v>
      </c>
      <c r="AF10" s="2"/>
    </row>
    <row r="11" spans="1:32" x14ac:dyDescent="0.2">
      <c r="A11" s="222" t="s">
        <v>213</v>
      </c>
      <c r="B11" s="7"/>
      <c r="C11" s="221"/>
      <c r="D11" s="221"/>
      <c r="E11" s="5">
        <v>4.5</v>
      </c>
      <c r="F11" s="5">
        <v>17</v>
      </c>
      <c r="G11" s="5">
        <v>6</v>
      </c>
      <c r="H11" s="36">
        <v>1300</v>
      </c>
      <c r="I11" s="215">
        <v>16</v>
      </c>
      <c r="J11" s="32">
        <v>9</v>
      </c>
      <c r="K11" s="2">
        <v>0.8</v>
      </c>
      <c r="L11" s="214">
        <v>0.01</v>
      </c>
      <c r="M11" s="187">
        <v>0</v>
      </c>
      <c r="N11" s="216">
        <v>1.1499999999999999</v>
      </c>
      <c r="O11" s="37">
        <v>3.4</v>
      </c>
      <c r="P11" s="216">
        <v>1.21</v>
      </c>
      <c r="Q11" s="216">
        <v>1.17</v>
      </c>
      <c r="R11" s="36">
        <v>10000000</v>
      </c>
      <c r="S11" s="98">
        <v>1600</v>
      </c>
      <c r="T11" s="98">
        <v>200</v>
      </c>
      <c r="U11" s="37">
        <v>11</v>
      </c>
      <c r="V11" s="37">
        <v>-2</v>
      </c>
      <c r="W11" s="36">
        <v>600</v>
      </c>
      <c r="X11" s="99">
        <v>135</v>
      </c>
      <c r="Y11" s="36">
        <v>26</v>
      </c>
      <c r="Z11" s="36">
        <v>19</v>
      </c>
      <c r="AA11" s="37">
        <f>48000*(fsw/1000)^-(0.997)-2</f>
        <v>67.932409419235967</v>
      </c>
      <c r="AB11" s="216">
        <f>43660*(Rt/1000)^-(0.973)+2</f>
        <v>720.50797265285814</v>
      </c>
      <c r="AC11" s="7">
        <v>2.2999999999999998</v>
      </c>
      <c r="AD11" s="37">
        <v>6</v>
      </c>
      <c r="AE11" s="36">
        <v>1</v>
      </c>
      <c r="AF11" s="2"/>
    </row>
    <row r="12" spans="1:32" x14ac:dyDescent="0.2">
      <c r="A12" s="222" t="s">
        <v>215</v>
      </c>
      <c r="B12" s="7"/>
      <c r="C12" s="221"/>
      <c r="D12" s="221"/>
      <c r="E12" s="5">
        <v>4.5</v>
      </c>
      <c r="F12" s="5">
        <v>17</v>
      </c>
      <c r="G12" s="5">
        <v>6</v>
      </c>
      <c r="H12" s="36">
        <v>1300</v>
      </c>
      <c r="I12" s="215">
        <v>16</v>
      </c>
      <c r="J12" s="32">
        <v>9</v>
      </c>
      <c r="K12" s="2">
        <v>0.6</v>
      </c>
      <c r="L12" s="214">
        <v>0.01</v>
      </c>
      <c r="M12" s="187">
        <v>0</v>
      </c>
      <c r="N12" s="216">
        <v>1.1499999999999999</v>
      </c>
      <c r="O12" s="37">
        <v>3.3</v>
      </c>
      <c r="P12" s="216">
        <v>1.21</v>
      </c>
      <c r="Q12" s="216">
        <v>1.17</v>
      </c>
      <c r="R12" s="36">
        <v>10000000</v>
      </c>
      <c r="S12" s="98">
        <v>1600</v>
      </c>
      <c r="T12" s="98">
        <v>200</v>
      </c>
      <c r="U12" s="37">
        <v>11</v>
      </c>
      <c r="V12" s="37">
        <v>-2</v>
      </c>
      <c r="W12" s="36">
        <v>600</v>
      </c>
      <c r="X12" s="99">
        <v>145</v>
      </c>
      <c r="Y12" s="36">
        <v>26</v>
      </c>
      <c r="Z12" s="36">
        <v>19</v>
      </c>
      <c r="AA12" s="37">
        <f>48000*(fsw/1000)^-(0.997)-2</f>
        <v>67.932409419235967</v>
      </c>
      <c r="AB12" s="216">
        <f>43660*(Rt/1000)^-(0.973)+2</f>
        <v>720.50797265285814</v>
      </c>
      <c r="AC12" s="7">
        <v>2.2999999999999998</v>
      </c>
      <c r="AD12" s="37">
        <v>6</v>
      </c>
      <c r="AE12" s="36">
        <v>1</v>
      </c>
    </row>
    <row r="13" spans="1:32" x14ac:dyDescent="0.2">
      <c r="A13" s="222" t="s">
        <v>212</v>
      </c>
      <c r="B13" s="7"/>
      <c r="C13" s="221"/>
      <c r="D13" s="221"/>
      <c r="E13" s="5">
        <v>4.5</v>
      </c>
      <c r="F13" s="5">
        <v>17</v>
      </c>
      <c r="G13" s="5">
        <v>6</v>
      </c>
      <c r="H13" s="36">
        <v>1300</v>
      </c>
      <c r="I13" s="215">
        <v>16</v>
      </c>
      <c r="J13" s="32">
        <v>9</v>
      </c>
      <c r="K13" s="2">
        <v>0.6</v>
      </c>
      <c r="L13" s="214">
        <v>0.01</v>
      </c>
      <c r="M13" s="187">
        <v>0</v>
      </c>
      <c r="N13" s="216">
        <v>1.1499999999999999</v>
      </c>
      <c r="O13" s="37">
        <v>3.3</v>
      </c>
      <c r="P13" s="216">
        <v>1.21</v>
      </c>
      <c r="Q13" s="216">
        <v>1.17</v>
      </c>
      <c r="R13" s="36">
        <v>10000000</v>
      </c>
      <c r="S13" s="98">
        <v>1600</v>
      </c>
      <c r="T13" s="98">
        <v>200</v>
      </c>
      <c r="U13" s="37">
        <v>11</v>
      </c>
      <c r="V13" s="37">
        <v>0</v>
      </c>
      <c r="W13" s="36">
        <v>250</v>
      </c>
      <c r="X13" s="99">
        <v>145</v>
      </c>
      <c r="Y13" s="36">
        <v>26</v>
      </c>
      <c r="Z13" s="36">
        <v>19</v>
      </c>
      <c r="AA13" s="37">
        <f>48000*(fsw/1000)^-(0.997)-2</f>
        <v>67.932409419235967</v>
      </c>
      <c r="AB13" s="216">
        <f>43660*(Rt/1000)^-(0.973)+2</f>
        <v>720.50797265285814</v>
      </c>
      <c r="AC13" s="7">
        <v>2.2999999999999998</v>
      </c>
      <c r="AD13" s="37">
        <v>6</v>
      </c>
      <c r="AE13" s="36">
        <v>0</v>
      </c>
    </row>
    <row r="14" spans="1:32" x14ac:dyDescent="0.2">
      <c r="A14" s="224" t="s">
        <v>348</v>
      </c>
      <c r="E14" s="2">
        <v>2.95</v>
      </c>
      <c r="F14" s="2">
        <v>6</v>
      </c>
      <c r="G14" s="2">
        <v>6</v>
      </c>
      <c r="H14" s="2">
        <v>245</v>
      </c>
      <c r="I14" s="37">
        <v>20</v>
      </c>
      <c r="J14" s="2">
        <v>10</v>
      </c>
      <c r="K14" s="2">
        <v>0.6</v>
      </c>
      <c r="L14" s="214">
        <v>0.01</v>
      </c>
      <c r="M14" s="187">
        <v>0</v>
      </c>
      <c r="N14" s="2">
        <v>0.7</v>
      </c>
      <c r="O14" s="2">
        <f>3.5-0.7</f>
        <v>2.8</v>
      </c>
      <c r="P14" s="216">
        <v>1.3</v>
      </c>
      <c r="Q14" s="216">
        <v>1.18</v>
      </c>
      <c r="R14" s="2">
        <v>7000000</v>
      </c>
      <c r="S14" s="2">
        <v>2000</v>
      </c>
      <c r="T14" s="2">
        <v>200</v>
      </c>
      <c r="U14" s="2">
        <v>10.5</v>
      </c>
      <c r="V14" s="37">
        <v>-2</v>
      </c>
      <c r="W14" s="2">
        <v>570</v>
      </c>
      <c r="X14" s="2">
        <v>110</v>
      </c>
      <c r="Y14" s="2">
        <v>12</v>
      </c>
      <c r="Z14" s="2">
        <v>12</v>
      </c>
      <c r="AA14" s="2">
        <f>56183/((fsw/1000)^(1.052))</f>
        <v>57.090229306846474</v>
      </c>
      <c r="AB14" s="2" t="s">
        <v>186</v>
      </c>
      <c r="AC14" s="2">
        <v>2.2000000000000002</v>
      </c>
      <c r="AD14" s="2">
        <v>7</v>
      </c>
      <c r="AE14" s="2">
        <v>1</v>
      </c>
    </row>
    <row r="15" spans="1:32" x14ac:dyDescent="0.2">
      <c r="A15" s="222" t="s">
        <v>250</v>
      </c>
      <c r="B15" s="7"/>
      <c r="C15" s="221"/>
      <c r="D15" s="221"/>
      <c r="E15" s="5">
        <v>4.5</v>
      </c>
      <c r="F15" s="5">
        <v>17</v>
      </c>
      <c r="G15" s="5">
        <v>8</v>
      </c>
      <c r="H15" s="36">
        <v>1300</v>
      </c>
      <c r="I15" s="215">
        <v>21</v>
      </c>
      <c r="J15" s="32">
        <v>9</v>
      </c>
      <c r="K15" s="2">
        <v>0.6</v>
      </c>
      <c r="L15" s="214">
        <v>0.01</v>
      </c>
      <c r="M15" s="187">
        <v>0</v>
      </c>
      <c r="N15" s="216">
        <v>1.1499999999999999</v>
      </c>
      <c r="O15" s="37">
        <v>3.3</v>
      </c>
      <c r="P15" s="216">
        <v>1.21</v>
      </c>
      <c r="Q15" s="216">
        <v>1.17</v>
      </c>
      <c r="R15" s="36">
        <v>10000000</v>
      </c>
      <c r="S15" s="98">
        <v>1600</v>
      </c>
      <c r="T15" s="98">
        <v>200</v>
      </c>
      <c r="U15" s="37">
        <v>14.5</v>
      </c>
      <c r="V15" s="37">
        <v>-2</v>
      </c>
      <c r="W15" s="36">
        <v>600</v>
      </c>
      <c r="X15" s="99">
        <v>145</v>
      </c>
      <c r="Y15" s="36">
        <v>26</v>
      </c>
      <c r="Z15" s="36">
        <v>19</v>
      </c>
      <c r="AA15" s="37">
        <f>48000*(fsw/1000)^-(0.997)-2</f>
        <v>67.932409419235967</v>
      </c>
      <c r="AB15" s="216">
        <f>43660*(Rt/1000)^-(0.973)+2</f>
        <v>720.50797265285814</v>
      </c>
      <c r="AC15" s="7">
        <v>2.2999999999999998</v>
      </c>
      <c r="AD15" s="37">
        <v>6</v>
      </c>
      <c r="AE15" s="36">
        <v>1</v>
      </c>
    </row>
    <row r="16" spans="1:32" x14ac:dyDescent="0.2">
      <c r="A16" s="223" t="s">
        <v>208</v>
      </c>
      <c r="B16" s="7"/>
      <c r="C16" s="221"/>
      <c r="D16" s="221"/>
      <c r="E16" s="5">
        <v>4.5</v>
      </c>
      <c r="F16" s="123">
        <v>17</v>
      </c>
      <c r="G16" s="5">
        <v>8</v>
      </c>
      <c r="H16" s="36">
        <v>1100</v>
      </c>
      <c r="I16" s="215">
        <f>16.52*1.4</f>
        <v>23.127999999999997</v>
      </c>
      <c r="J16" s="32">
        <v>8</v>
      </c>
      <c r="K16" s="2">
        <v>0.6</v>
      </c>
      <c r="L16" s="214">
        <v>8.5000000000000006E-3</v>
      </c>
      <c r="M16" s="187">
        <v>2E-3</v>
      </c>
      <c r="N16" s="37">
        <v>1.2</v>
      </c>
      <c r="O16" s="37">
        <v>3.6</v>
      </c>
      <c r="P16" s="216">
        <v>1.2</v>
      </c>
      <c r="Q16" s="216">
        <v>1.1499999999999999</v>
      </c>
      <c r="R16" s="36">
        <v>10000000</v>
      </c>
      <c r="S16" s="98">
        <v>1600</v>
      </c>
      <c r="T16" s="98">
        <v>200</v>
      </c>
      <c r="U16" s="37">
        <v>12.9</v>
      </c>
      <c r="V16" s="37">
        <v>-2.5</v>
      </c>
      <c r="W16" s="36">
        <v>560</v>
      </c>
      <c r="X16" s="99">
        <v>145</v>
      </c>
      <c r="Y16" s="36">
        <v>14</v>
      </c>
      <c r="Z16" s="36">
        <v>6</v>
      </c>
      <c r="AA16" s="37">
        <f>58650*(fsw/1000)^-(1.028)</f>
        <v>69.744060967508986</v>
      </c>
      <c r="AB16" s="216">
        <f>43660*(Rt/1000)^-(0.973)</f>
        <v>718.50797265285814</v>
      </c>
      <c r="AC16" s="7">
        <v>5</v>
      </c>
      <c r="AD16" s="37">
        <v>6.5</v>
      </c>
      <c r="AE16" s="36">
        <v>1</v>
      </c>
    </row>
    <row r="17" spans="1:31" x14ac:dyDescent="0.2">
      <c r="A17" s="222" t="s">
        <v>331</v>
      </c>
      <c r="E17" s="2">
        <v>4.5</v>
      </c>
      <c r="F17" s="2">
        <v>17</v>
      </c>
      <c r="G17" s="2">
        <v>10</v>
      </c>
      <c r="H17" s="2">
        <v>1100</v>
      </c>
      <c r="I17" s="37">
        <f>16.52*1.4</f>
        <v>23.127999999999997</v>
      </c>
      <c r="J17" s="2">
        <v>10</v>
      </c>
      <c r="K17" s="2">
        <v>0.6</v>
      </c>
      <c r="L17" s="214">
        <v>8.5000000000000006E-3</v>
      </c>
      <c r="M17" s="187">
        <v>2E-3</v>
      </c>
      <c r="N17" s="2">
        <v>1.2</v>
      </c>
      <c r="O17" s="2">
        <v>3.6</v>
      </c>
      <c r="P17" s="216">
        <v>1.2</v>
      </c>
      <c r="Q17" s="216">
        <v>1.1499999999999999</v>
      </c>
      <c r="R17" s="2">
        <v>10000000</v>
      </c>
      <c r="S17" s="2">
        <v>1600</v>
      </c>
      <c r="T17" s="2">
        <v>200</v>
      </c>
      <c r="U17" s="2">
        <v>14.6</v>
      </c>
      <c r="V17" s="2">
        <v>-2.5</v>
      </c>
      <c r="W17" s="2">
        <v>560</v>
      </c>
      <c r="X17" s="2">
        <v>145</v>
      </c>
      <c r="Y17" s="2">
        <v>21</v>
      </c>
      <c r="Z17" s="2">
        <v>8</v>
      </c>
      <c r="AA17" s="2">
        <f>58650*(fsw/1000)^-(1.028)</f>
        <v>69.744060967508986</v>
      </c>
      <c r="AB17" s="2">
        <f>43660*(Rt/1000)^-(0.973)</f>
        <v>718.50797265285814</v>
      </c>
      <c r="AC17" s="2">
        <v>5</v>
      </c>
      <c r="AD17" s="2">
        <v>6.5</v>
      </c>
      <c r="AE17" s="2">
        <v>1</v>
      </c>
    </row>
  </sheetData>
  <pageMargins left="0.7" right="0.7" top="0.75" bottom="0.75" header="0.3" footer="0.3"/>
  <pageSetup orientation="portrait"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146"/>
  <sheetViews>
    <sheetView zoomScaleNormal="100" workbookViewId="0">
      <selection activeCell="D30" sqref="D30"/>
    </sheetView>
  </sheetViews>
  <sheetFormatPr defaultColWidth="9.140625" defaultRowHeight="12.75" x14ac:dyDescent="0.2"/>
  <cols>
    <col min="1" max="1" width="9.140625" style="40"/>
    <col min="2" max="2" width="19.28515625" style="40" bestFit="1" customWidth="1"/>
    <col min="3" max="3" width="12.42578125" style="40" bestFit="1" customWidth="1"/>
    <col min="4" max="4" width="7.7109375" style="40" customWidth="1"/>
    <col min="5" max="5" width="8.7109375" style="41" customWidth="1"/>
    <col min="6" max="8" width="8.7109375" style="42" customWidth="1"/>
    <col min="9" max="9" width="8.7109375" style="43" customWidth="1"/>
    <col min="10" max="11" width="9.140625" style="80"/>
    <col min="12" max="12" width="8.5703125" style="80" bestFit="1" customWidth="1"/>
    <col min="13" max="17" width="9.140625" style="41"/>
    <col min="18" max="16384" width="9.140625" style="45"/>
  </cols>
  <sheetData>
    <row r="1" spans="1:17" ht="18" x14ac:dyDescent="0.25">
      <c r="A1" s="39" t="s">
        <v>88</v>
      </c>
      <c r="J1" s="44"/>
      <c r="K1" s="44"/>
      <c r="L1" s="44"/>
      <c r="M1" s="42"/>
    </row>
    <row r="2" spans="1:17" ht="18.75" thickBot="1" x14ac:dyDescent="0.3">
      <c r="A2" s="46"/>
      <c r="B2" s="41"/>
      <c r="C2" s="41"/>
      <c r="D2" s="41"/>
      <c r="E2" s="47" t="s">
        <v>89</v>
      </c>
      <c r="J2" s="47" t="s">
        <v>90</v>
      </c>
      <c r="K2" s="48"/>
      <c r="L2" s="48"/>
      <c r="N2" s="45"/>
      <c r="O2" s="45"/>
      <c r="P2" s="45"/>
      <c r="Q2" s="45"/>
    </row>
    <row r="3" spans="1:17" ht="13.5" thickBot="1" x14ac:dyDescent="0.25">
      <c r="A3" s="41"/>
      <c r="B3" s="49" t="s">
        <v>91</v>
      </c>
      <c r="C3" s="50">
        <v>100</v>
      </c>
      <c r="D3" s="41"/>
      <c r="E3" s="236" t="s">
        <v>92</v>
      </c>
      <c r="F3" s="237"/>
      <c r="G3" s="238" t="s">
        <v>93</v>
      </c>
      <c r="H3" s="239"/>
      <c r="J3" s="51" t="s">
        <v>94</v>
      </c>
      <c r="K3" s="52">
        <v>8.2000000000000006E-8</v>
      </c>
      <c r="L3" s="53" t="s">
        <v>136</v>
      </c>
      <c r="N3" s="45"/>
      <c r="O3" s="45"/>
      <c r="P3" s="45"/>
      <c r="Q3" s="45"/>
    </row>
    <row r="4" spans="1:17" ht="13.5" thickBot="1" x14ac:dyDescent="0.25">
      <c r="B4" s="41"/>
      <c r="E4" s="54">
        <v>100</v>
      </c>
      <c r="F4" s="55">
        <v>150</v>
      </c>
      <c r="G4" s="56">
        <v>100</v>
      </c>
      <c r="H4" s="57">
        <v>102</v>
      </c>
      <c r="K4" s="58">
        <f>IF(K3*10^12&lt;10000,IF((10^(LOG(K3*10^12)-INT(LOG(K3*10^12))))-VLOOKUP((10^(LOG(K3*10^12)-INT(LOG(K3*10^12)))),c_s1:C_f1,1)&lt;VLOOKUP((10^(LOG(K3*10^12)-INT(LOG(K3*10^12)))),c_s1:C_f1,2)-(10^(LOG(K3*10^12)-INT(LOG(K3*10^12)))),VLOOKUP((10^(LOG(K3*10^12)-INT(LOG(K3*10^12)))),c_s1:C_f1,1),VLOOKUP((10^(LOG(K3*10^12)-INT(LOG(K3*10^12)))),c_s1:C_f1,2))*10^INT(LOG(K3*10^12)),IF((10^(LOG(K3*10^12)-INT(LOG(K3*10^12))))-VLOOKUP((10^(LOG(K3*10^12)-INT(LOG(K3*10^12)))),C_s2:C_f2,1)&lt;VLOOKUP((10^(LOG(K3*10^12)-INT(LOG(K3*10^12)))),C_s2:C_f2,2)-(10^(LOG(K3*10^12)-INT(LOG(K3*10^12)))),VLOOKUP((10^(LOG(K3*10^12)-INT(LOG(K3*10^12)))),C_s2:C_f2,1),VLOOKUP((10^(LOG(K3*10^12)-INT(LOG(K3*10^12)))),C_s2:C_f2,2))*10^INT(LOG(K3*10^12)))*10^-12</f>
        <v>6.8E-8</v>
      </c>
      <c r="L4" s="59" t="s">
        <v>136</v>
      </c>
      <c r="P4" s="45"/>
      <c r="Q4" s="45"/>
    </row>
    <row r="5" spans="1:17" ht="13.5" thickBot="1" x14ac:dyDescent="0.25">
      <c r="B5" s="60" t="s">
        <v>95</v>
      </c>
      <c r="C5" s="61">
        <f>(IF((10^(LOG(C3)-INT(LOG(C3)))*100)-VLOOKUP((10^(LOG(C3)-INT(LOG(C3)))*100),E6_s:E6_f,1)&lt;VLOOKUP((10^(LOG(C3)-INT(LOG(C3)))*100),E6_s:E6_f,2)-(10^(LOG(C3)-INT(LOG(C3)))*100),VLOOKUP((10^(LOG(C3)-INT(LOG(C3)))*100),E6_s:E6_f,1),VLOOKUP((10^(LOG(C3)-INT(LOG(C3)))*100),E6_s:E6_f,2)))*10^INT(LOG(C3))/100</f>
        <v>100</v>
      </c>
      <c r="E5" s="55">
        <v>150</v>
      </c>
      <c r="F5" s="54">
        <v>220</v>
      </c>
      <c r="G5" s="57">
        <v>102</v>
      </c>
      <c r="H5" s="56">
        <v>105</v>
      </c>
      <c r="J5" s="62"/>
      <c r="K5" s="63"/>
      <c r="L5" s="64"/>
      <c r="M5" s="42"/>
      <c r="N5" s="45"/>
      <c r="O5" s="45"/>
      <c r="P5" s="45"/>
      <c r="Q5" s="45"/>
    </row>
    <row r="6" spans="1:17" ht="13.5" thickBot="1" x14ac:dyDescent="0.25">
      <c r="B6" s="65" t="s">
        <v>96</v>
      </c>
      <c r="C6" s="66">
        <f>(IF((10^(LOG(C3)-INT(LOG(C3)))*100)-VLOOKUP((10^(LOG(C3)-INT(LOG(C3)))*100),E12_s:E12_f,1)&lt;VLOOKUP((10^(LOG(C3)-INT(LOG(C3)))*100),E12_s:E12_f,2)-(10^(LOG(C3)-INT(LOG(C3)))*100),VLOOKUP((10^(LOG(C3)-INT(LOG(C3)))*100),E12_s:E12_f,1),VLOOKUP((10^(LOG(C3)-INT(LOG(C3)))*100),E12_s:E12_f,2)))*10^INT(LOG(C3))/100</f>
        <v>100</v>
      </c>
      <c r="E6" s="54">
        <v>220</v>
      </c>
      <c r="F6" s="55">
        <v>330</v>
      </c>
      <c r="G6" s="56">
        <v>105</v>
      </c>
      <c r="H6" s="57">
        <v>107</v>
      </c>
      <c r="J6" s="67" t="s">
        <v>97</v>
      </c>
      <c r="K6" s="68"/>
      <c r="L6" s="42"/>
      <c r="N6" s="45"/>
      <c r="O6" s="45"/>
      <c r="P6" s="45"/>
      <c r="Q6" s="45"/>
    </row>
    <row r="7" spans="1:17" ht="13.5" thickBot="1" x14ac:dyDescent="0.25">
      <c r="B7" s="65" t="s">
        <v>98</v>
      </c>
      <c r="C7" s="66">
        <f>(IF((10^(LOG(C3)-INT(LOG(C3)))*100)-VLOOKUP((10^(LOG(C3)-INT(LOG(C3)))*100),E24_s:E24_f,1)&lt;VLOOKUP((10^(LOG(C3)-INT(LOG(C3)))*100),E24_s:E24_f,2)-(10^(LOG(C3)-INT(LOG(C3)))*100),VLOOKUP((10^(LOG(C3)-INT(LOG(C3)))*100),E24_s:E24_f,1),VLOOKUP((10^(LOG(C3)-INT(LOG(C3)))*100),E24_s:E24_f,2)))*10^INT(LOG(C3))/100</f>
        <v>100</v>
      </c>
      <c r="E7" s="55">
        <v>330</v>
      </c>
      <c r="F7" s="54">
        <v>470</v>
      </c>
      <c r="G7" s="57">
        <v>107</v>
      </c>
      <c r="H7" s="56">
        <v>110</v>
      </c>
      <c r="J7" s="68">
        <v>1</v>
      </c>
      <c r="K7" s="68">
        <v>1.2</v>
      </c>
      <c r="L7" s="69">
        <f>IF((10^(LOG(K3)-INT(LOG(K3))))-VLOOKUP((10^(LOG(K3)-INT(LOG(K3)))),c_s1:C_f1,1)&lt;VLOOKUP((10^(LOG(K3)-INT(LOG(K3)))),c_s1:C_f1,2)-(10^(LOG(K3)-INT(LOG(K3)))),VLOOKUP((10^(LOG(K3)-INT(LOG(K3)))),c_s1:C_f1,1),VLOOKUP((10^(LOG(K3)-INT(LOG(K3)))),c_s1:C_f1,2))</f>
        <v>8.1999999999999993</v>
      </c>
      <c r="N7" s="45"/>
      <c r="O7" s="45"/>
      <c r="P7" s="45"/>
      <c r="Q7" s="45"/>
    </row>
    <row r="8" spans="1:17" ht="13.5" thickBot="1" x14ac:dyDescent="0.25">
      <c r="B8" s="65" t="s">
        <v>99</v>
      </c>
      <c r="C8" s="66">
        <f>(IF((10^(LOG(C3)-INT(LOG(C3)))*100)-VLOOKUP((10^(LOG(C3)-INT(LOG(C3)))*100),E48_s:E48_f,1)&lt;VLOOKUP((10^(LOG(C3)-INT(LOG(C3)))*100),E48_s:E48_f,2)-(10^(LOG(C3)-INT(LOG(C3)))*100),VLOOKUP((10^(LOG(C3)-INT(LOG(C3)))*100),E48_s:E48_f,1),VLOOKUP((10^(LOG(C3)-INT(LOG(C3)))*100),E48_s:E48_f,2)))*10^INT(LOG(C3))/100</f>
        <v>100</v>
      </c>
      <c r="D8" s="48"/>
      <c r="E8" s="54">
        <v>470</v>
      </c>
      <c r="F8" s="55">
        <v>680</v>
      </c>
      <c r="G8" s="56">
        <v>110</v>
      </c>
      <c r="H8" s="57">
        <v>113</v>
      </c>
      <c r="J8" s="68">
        <v>1.2</v>
      </c>
      <c r="K8" s="68">
        <v>1.5</v>
      </c>
      <c r="L8" s="70"/>
      <c r="M8" s="45"/>
      <c r="N8" s="45"/>
      <c r="O8" s="45"/>
      <c r="P8" s="45"/>
      <c r="Q8" s="45"/>
    </row>
    <row r="9" spans="1:17" ht="13.5" thickBot="1" x14ac:dyDescent="0.25">
      <c r="B9" s="71" t="s">
        <v>100</v>
      </c>
      <c r="C9" s="72">
        <f>(IF((10^(LOG(C3)-INT(LOG(C3)))*100)-VLOOKUP((10^(LOG(C3)-INT(LOG(C3)))*100),E96_s:E96_f,1)&lt;VLOOKUP((10^(LOG(C3)-INT(LOG(C3)))*100),E96_s:E96_f,2)-(10^(LOG(C3)-INT(LOG(C3)))*100),VLOOKUP((10^(LOG(C3)-INT(LOG(C3)))*100),E96_s:E96_f,1),VLOOKUP((10^(LOG(C3)-INT(LOG(C3)))*100),E96_s:E96_f,2)))*10^INT(LOG(C3))/100</f>
        <v>100</v>
      </c>
      <c r="D9" s="42"/>
      <c r="E9" s="55">
        <v>680</v>
      </c>
      <c r="F9" s="55">
        <v>1000</v>
      </c>
      <c r="G9" s="57">
        <v>113</v>
      </c>
      <c r="H9" s="56">
        <v>115</v>
      </c>
      <c r="J9" s="68">
        <v>1.5</v>
      </c>
      <c r="K9" s="68">
        <v>1.8</v>
      </c>
      <c r="L9" s="70"/>
      <c r="N9" s="45"/>
      <c r="O9" s="45"/>
      <c r="P9" s="213" t="s">
        <v>335</v>
      </c>
      <c r="Q9" s="213" t="s">
        <v>337</v>
      </c>
    </row>
    <row r="10" spans="1:17" ht="13.5" thickBot="1" x14ac:dyDescent="0.25">
      <c r="B10" s="48"/>
      <c r="C10" s="48"/>
      <c r="D10" s="48"/>
      <c r="E10" s="240" t="s">
        <v>101</v>
      </c>
      <c r="F10" s="241"/>
      <c r="G10" s="56">
        <v>115</v>
      </c>
      <c r="H10" s="57">
        <v>118</v>
      </c>
      <c r="J10" s="68">
        <v>1.8</v>
      </c>
      <c r="K10" s="68">
        <v>2.2000000000000002</v>
      </c>
      <c r="L10" s="42"/>
      <c r="N10" s="45"/>
      <c r="O10" s="45"/>
      <c r="P10" s="45"/>
      <c r="Q10" s="213" t="s">
        <v>336</v>
      </c>
    </row>
    <row r="11" spans="1:17" ht="13.5" thickBot="1" x14ac:dyDescent="0.25">
      <c r="E11" s="74">
        <v>100</v>
      </c>
      <c r="F11" s="75">
        <v>120</v>
      </c>
      <c r="G11" s="57">
        <v>118</v>
      </c>
      <c r="H11" s="56">
        <v>121</v>
      </c>
      <c r="J11" s="68">
        <v>2.2000000000000002</v>
      </c>
      <c r="K11" s="68">
        <v>2.7</v>
      </c>
      <c r="L11" s="42"/>
      <c r="N11" s="45"/>
      <c r="O11" s="45"/>
      <c r="P11" s="45"/>
      <c r="Q11" s="45"/>
    </row>
    <row r="12" spans="1:17" ht="13.5" thickBot="1" x14ac:dyDescent="0.25">
      <c r="E12" s="75">
        <v>120</v>
      </c>
      <c r="F12" s="75">
        <v>150</v>
      </c>
      <c r="G12" s="56">
        <v>121</v>
      </c>
      <c r="H12" s="57">
        <v>124</v>
      </c>
      <c r="J12" s="68">
        <v>2.7</v>
      </c>
      <c r="K12" s="68">
        <v>3.3</v>
      </c>
      <c r="L12" s="42"/>
      <c r="N12" s="45"/>
      <c r="O12" s="45"/>
      <c r="P12" s="45"/>
      <c r="Q12" s="45"/>
    </row>
    <row r="13" spans="1:17" ht="13.5" thickBot="1" x14ac:dyDescent="0.25">
      <c r="E13" s="75">
        <v>150</v>
      </c>
      <c r="F13" s="75">
        <v>180</v>
      </c>
      <c r="G13" s="57">
        <v>124</v>
      </c>
      <c r="H13" s="56">
        <v>127</v>
      </c>
      <c r="J13" s="68">
        <v>3.3</v>
      </c>
      <c r="K13" s="68">
        <v>3.9</v>
      </c>
      <c r="L13" s="42"/>
      <c r="N13" s="45"/>
      <c r="O13" s="45"/>
      <c r="P13" s="45"/>
      <c r="Q13" s="45"/>
    </row>
    <row r="14" spans="1:17" ht="13.5" thickBot="1" x14ac:dyDescent="0.25">
      <c r="A14" s="48"/>
      <c r="B14" s="48"/>
      <c r="C14" s="48"/>
      <c r="D14" s="48"/>
      <c r="E14" s="75">
        <v>180</v>
      </c>
      <c r="F14" s="74">
        <v>220</v>
      </c>
      <c r="G14" s="56">
        <v>127</v>
      </c>
      <c r="H14" s="57">
        <v>130</v>
      </c>
      <c r="J14" s="68">
        <v>3.9</v>
      </c>
      <c r="K14" s="68">
        <v>4.7</v>
      </c>
      <c r="L14" s="42"/>
      <c r="N14" s="45"/>
      <c r="O14" s="45"/>
      <c r="P14" s="45"/>
      <c r="Q14" s="45"/>
    </row>
    <row r="15" spans="1:17" ht="13.5" thickBot="1" x14ac:dyDescent="0.25">
      <c r="A15" s="48"/>
      <c r="B15" s="48"/>
      <c r="C15" s="48"/>
      <c r="D15" s="76"/>
      <c r="E15" s="74">
        <v>220</v>
      </c>
      <c r="F15" s="75">
        <v>270</v>
      </c>
      <c r="G15" s="57">
        <v>130</v>
      </c>
      <c r="H15" s="56">
        <v>133</v>
      </c>
      <c r="J15" s="68">
        <v>4.7</v>
      </c>
      <c r="K15" s="68">
        <v>5.6</v>
      </c>
      <c r="L15" s="42"/>
      <c r="N15" s="45"/>
      <c r="O15" s="45"/>
      <c r="P15" s="45"/>
      <c r="Q15" s="45"/>
    </row>
    <row r="16" spans="1:17" ht="13.5" thickBot="1" x14ac:dyDescent="0.25">
      <c r="A16" s="77"/>
      <c r="B16" s="78"/>
      <c r="C16" s="48"/>
      <c r="D16" s="79"/>
      <c r="E16" s="75">
        <v>270</v>
      </c>
      <c r="F16" s="75">
        <v>330</v>
      </c>
      <c r="G16" s="56">
        <v>133</v>
      </c>
      <c r="H16" s="57">
        <v>137</v>
      </c>
      <c r="J16" s="68">
        <v>5.6</v>
      </c>
      <c r="K16" s="68">
        <v>6.8</v>
      </c>
      <c r="L16" s="42"/>
      <c r="N16" s="45"/>
      <c r="O16" s="45"/>
      <c r="P16" s="45"/>
      <c r="Q16" s="45"/>
    </row>
    <row r="17" spans="1:17" ht="13.5" thickBot="1" x14ac:dyDescent="0.25">
      <c r="A17" s="77"/>
      <c r="B17" s="78"/>
      <c r="C17" s="48"/>
      <c r="D17" s="79"/>
      <c r="E17" s="75">
        <v>330</v>
      </c>
      <c r="F17" s="75">
        <v>390</v>
      </c>
      <c r="G17" s="57">
        <v>137</v>
      </c>
      <c r="H17" s="56">
        <v>140</v>
      </c>
      <c r="J17" s="68">
        <v>6.8</v>
      </c>
      <c r="K17" s="68">
        <v>8.1999999999999993</v>
      </c>
      <c r="L17" s="42"/>
      <c r="N17" s="45"/>
      <c r="O17" s="45"/>
      <c r="P17" s="45"/>
      <c r="Q17" s="45"/>
    </row>
    <row r="18" spans="1:17" ht="13.5" thickBot="1" x14ac:dyDescent="0.25">
      <c r="A18" s="77"/>
      <c r="B18" s="78"/>
      <c r="C18" s="48"/>
      <c r="D18" s="79"/>
      <c r="E18" s="75">
        <v>390</v>
      </c>
      <c r="F18" s="74">
        <v>470</v>
      </c>
      <c r="G18" s="56">
        <v>140</v>
      </c>
      <c r="H18" s="57">
        <v>143</v>
      </c>
      <c r="J18" s="68">
        <v>8.1999999999999993</v>
      </c>
      <c r="K18" s="68">
        <v>10</v>
      </c>
      <c r="L18" s="42"/>
      <c r="M18" s="45"/>
      <c r="N18" s="45"/>
      <c r="O18" s="45"/>
      <c r="P18" s="45"/>
      <c r="Q18" s="45"/>
    </row>
    <row r="19" spans="1:17" ht="13.5" thickBot="1" x14ac:dyDescent="0.25">
      <c r="A19" s="77"/>
      <c r="B19" s="78"/>
      <c r="C19" s="48"/>
      <c r="D19" s="79"/>
      <c r="E19" s="74">
        <v>470</v>
      </c>
      <c r="F19" s="75">
        <v>560</v>
      </c>
      <c r="G19" s="57">
        <v>143</v>
      </c>
      <c r="H19" s="56">
        <v>147</v>
      </c>
      <c r="J19" s="67" t="s">
        <v>102</v>
      </c>
      <c r="K19" s="68"/>
      <c r="L19" s="68"/>
      <c r="M19" s="45"/>
      <c r="N19" s="45"/>
      <c r="O19" s="45"/>
      <c r="P19" s="45"/>
      <c r="Q19" s="45"/>
    </row>
    <row r="20" spans="1:17" ht="13.5" thickBot="1" x14ac:dyDescent="0.25">
      <c r="A20" s="77"/>
      <c r="B20" s="78"/>
      <c r="C20" s="48"/>
      <c r="D20" s="79"/>
      <c r="E20" s="75">
        <v>560</v>
      </c>
      <c r="F20" s="75">
        <v>680</v>
      </c>
      <c r="G20" s="56">
        <v>147</v>
      </c>
      <c r="H20" s="57">
        <v>150</v>
      </c>
      <c r="J20" s="68">
        <v>1</v>
      </c>
      <c r="K20" s="68">
        <v>1.5</v>
      </c>
      <c r="L20" s="69">
        <f>IF((10^(LOG(K3)-INT(LOG(K3))))-VLOOKUP((10^(LOG(K3)-INT(LOG(K3)))),C_s2:C_f2,1)&lt;VLOOKUP((10^(LOG(K3)-INT(LOG(K3)))),C_s2:C_f2,2)-(10^(LOG(K3)-INT(LOG(K3)))),VLOOKUP((10^(LOG(K3)-INT(LOG(K3)))),C_s2:C_f2,1),VLOOKUP((10^(LOG(K3)-INT(LOG(K3)))),C_s2:C_f2,2))</f>
        <v>6.8</v>
      </c>
      <c r="M20" s="45"/>
      <c r="N20" s="45"/>
      <c r="O20" s="45"/>
      <c r="P20" s="45"/>
      <c r="Q20" s="45"/>
    </row>
    <row r="21" spans="1:17" ht="13.5" thickBot="1" x14ac:dyDescent="0.25">
      <c r="A21" s="77"/>
      <c r="B21" s="78"/>
      <c r="C21" s="48"/>
      <c r="D21" s="79"/>
      <c r="E21" s="73">
        <v>680</v>
      </c>
      <c r="F21" s="75">
        <v>820</v>
      </c>
      <c r="G21" s="57">
        <v>150</v>
      </c>
      <c r="H21" s="56">
        <v>154</v>
      </c>
      <c r="J21" s="68">
        <v>1.5</v>
      </c>
      <c r="K21" s="68">
        <v>2.2000000000000002</v>
      </c>
      <c r="M21" s="45"/>
      <c r="N21" s="45"/>
      <c r="O21" s="45"/>
      <c r="P21" s="45"/>
      <c r="Q21" s="45"/>
    </row>
    <row r="22" spans="1:17" ht="13.5" thickBot="1" x14ac:dyDescent="0.25">
      <c r="A22" s="77"/>
      <c r="B22" s="78"/>
      <c r="C22" s="48"/>
      <c r="D22" s="79"/>
      <c r="E22" s="73">
        <v>820</v>
      </c>
      <c r="F22" s="75">
        <v>1000</v>
      </c>
      <c r="G22" s="56">
        <v>154</v>
      </c>
      <c r="H22" s="57">
        <v>158</v>
      </c>
      <c r="J22" s="68">
        <v>2.2000000000000002</v>
      </c>
      <c r="K22" s="68">
        <v>3.3</v>
      </c>
      <c r="L22" s="69"/>
      <c r="M22" s="45"/>
      <c r="N22" s="45"/>
      <c r="O22" s="45"/>
      <c r="P22" s="45"/>
      <c r="Q22" s="45"/>
    </row>
    <row r="23" spans="1:17" ht="13.5" thickBot="1" x14ac:dyDescent="0.25">
      <c r="A23" s="77"/>
      <c r="B23" s="78"/>
      <c r="C23" s="48"/>
      <c r="D23" s="79"/>
      <c r="E23" s="242" t="s">
        <v>103</v>
      </c>
      <c r="F23" s="243"/>
      <c r="G23" s="57">
        <v>158</v>
      </c>
      <c r="H23" s="56">
        <v>162</v>
      </c>
      <c r="J23" s="68">
        <v>3.3</v>
      </c>
      <c r="K23" s="68">
        <v>4.7</v>
      </c>
      <c r="L23" s="69"/>
      <c r="M23" s="45"/>
      <c r="N23" s="45"/>
      <c r="O23" s="45"/>
      <c r="P23" s="45"/>
      <c r="Q23" s="45"/>
    </row>
    <row r="24" spans="1:17" ht="13.5" thickBot="1" x14ac:dyDescent="0.25">
      <c r="A24" s="77"/>
      <c r="B24" s="78"/>
      <c r="C24" s="48"/>
      <c r="D24" s="79"/>
      <c r="E24" s="81">
        <v>100</v>
      </c>
      <c r="F24" s="82">
        <v>110</v>
      </c>
      <c r="G24" s="56">
        <v>162</v>
      </c>
      <c r="H24" s="57">
        <v>165</v>
      </c>
      <c r="J24" s="68">
        <v>4.7</v>
      </c>
      <c r="K24" s="68">
        <v>6.8</v>
      </c>
      <c r="L24" s="42"/>
      <c r="M24" s="45"/>
      <c r="N24" s="45"/>
      <c r="O24" s="45"/>
      <c r="P24" s="45"/>
      <c r="Q24" s="45"/>
    </row>
    <row r="25" spans="1:17" ht="13.5" thickBot="1" x14ac:dyDescent="0.25">
      <c r="A25" s="77"/>
      <c r="B25" s="78"/>
      <c r="C25" s="48"/>
      <c r="D25" s="79"/>
      <c r="E25" s="82">
        <v>110</v>
      </c>
      <c r="F25" s="82">
        <v>120</v>
      </c>
      <c r="G25" s="57">
        <v>165</v>
      </c>
      <c r="H25" s="56">
        <v>169</v>
      </c>
      <c r="J25" s="68">
        <v>6.8</v>
      </c>
      <c r="K25" s="68">
        <v>10</v>
      </c>
      <c r="L25" s="42"/>
      <c r="M25" s="45"/>
      <c r="N25" s="45"/>
      <c r="O25" s="45"/>
      <c r="P25" s="45"/>
      <c r="Q25" s="45"/>
    </row>
    <row r="26" spans="1:17" ht="13.5" thickBot="1" x14ac:dyDescent="0.25">
      <c r="A26" s="77"/>
      <c r="B26" s="78"/>
      <c r="C26" s="48"/>
      <c r="D26" s="79"/>
      <c r="E26" s="82">
        <v>120</v>
      </c>
      <c r="F26" s="82">
        <v>130</v>
      </c>
      <c r="G26" s="56">
        <v>169</v>
      </c>
      <c r="H26" s="57">
        <v>174</v>
      </c>
      <c r="J26" s="83"/>
      <c r="K26" s="83"/>
      <c r="L26" s="83"/>
      <c r="M26" s="45"/>
      <c r="N26" s="45"/>
      <c r="O26" s="45"/>
      <c r="P26" s="45"/>
      <c r="Q26" s="45"/>
    </row>
    <row r="27" spans="1:17" ht="13.5" thickBot="1" x14ac:dyDescent="0.25">
      <c r="A27" s="77"/>
      <c r="B27" s="78"/>
      <c r="C27" s="48"/>
      <c r="D27" s="79"/>
      <c r="E27" s="82">
        <v>130</v>
      </c>
      <c r="F27" s="82">
        <v>150</v>
      </c>
      <c r="G27" s="57">
        <v>174</v>
      </c>
      <c r="H27" s="56">
        <v>178</v>
      </c>
      <c r="J27" s="83"/>
      <c r="K27" s="83"/>
      <c r="L27" s="83"/>
      <c r="M27" s="45"/>
      <c r="N27" s="45"/>
      <c r="O27" s="45"/>
      <c r="P27" s="45"/>
      <c r="Q27" s="45"/>
    </row>
    <row r="28" spans="1:17" ht="13.5" thickBot="1" x14ac:dyDescent="0.25">
      <c r="A28" s="77"/>
      <c r="B28" s="78"/>
      <c r="C28" s="48"/>
      <c r="D28" s="79"/>
      <c r="E28" s="82">
        <v>150</v>
      </c>
      <c r="F28" s="82">
        <v>160</v>
      </c>
      <c r="G28" s="56">
        <v>178</v>
      </c>
      <c r="H28" s="57">
        <v>182</v>
      </c>
      <c r="I28" s="84"/>
      <c r="J28" s="83"/>
      <c r="K28" s="83"/>
      <c r="L28" s="83"/>
      <c r="M28" s="45"/>
      <c r="N28" s="45"/>
      <c r="O28" s="45"/>
      <c r="P28" s="45"/>
      <c r="Q28" s="45"/>
    </row>
    <row r="29" spans="1:17" ht="13.5" thickBot="1" x14ac:dyDescent="0.25">
      <c r="A29" s="77"/>
      <c r="B29" s="78"/>
      <c r="C29" s="48"/>
      <c r="D29" s="79"/>
      <c r="E29" s="82">
        <v>160</v>
      </c>
      <c r="F29" s="82">
        <v>180</v>
      </c>
      <c r="G29" s="57">
        <v>182</v>
      </c>
      <c r="H29" s="56">
        <v>187</v>
      </c>
      <c r="I29" s="84"/>
      <c r="J29" s="83"/>
      <c r="K29" s="83"/>
      <c r="L29" s="83"/>
      <c r="M29" s="45"/>
      <c r="N29" s="45"/>
      <c r="O29" s="45"/>
      <c r="P29" s="45"/>
      <c r="Q29" s="45"/>
    </row>
    <row r="30" spans="1:17" ht="13.5" thickBot="1" x14ac:dyDescent="0.25">
      <c r="A30" s="77"/>
      <c r="B30" s="78"/>
      <c r="C30" s="48"/>
      <c r="D30" s="79"/>
      <c r="E30" s="82">
        <v>180</v>
      </c>
      <c r="F30" s="85">
        <v>200</v>
      </c>
      <c r="G30" s="56">
        <v>187</v>
      </c>
      <c r="H30" s="57">
        <v>191</v>
      </c>
      <c r="I30" s="84"/>
      <c r="J30" s="83"/>
      <c r="K30" s="83"/>
      <c r="L30" s="83"/>
      <c r="M30" s="45"/>
      <c r="N30" s="45"/>
      <c r="O30" s="45"/>
      <c r="P30" s="45"/>
      <c r="Q30" s="45"/>
    </row>
    <row r="31" spans="1:17" ht="13.5" thickBot="1" x14ac:dyDescent="0.25">
      <c r="A31" s="77"/>
      <c r="B31" s="78"/>
      <c r="C31" s="48"/>
      <c r="D31" s="79"/>
      <c r="E31" s="85">
        <v>200</v>
      </c>
      <c r="F31" s="81">
        <v>220</v>
      </c>
      <c r="G31" s="57">
        <v>191</v>
      </c>
      <c r="H31" s="56">
        <v>196</v>
      </c>
      <c r="I31" s="84"/>
      <c r="J31" s="83"/>
      <c r="K31" s="83"/>
      <c r="L31" s="83"/>
      <c r="M31" s="45"/>
      <c r="N31" s="45"/>
      <c r="O31" s="45"/>
      <c r="P31" s="45"/>
      <c r="Q31" s="45"/>
    </row>
    <row r="32" spans="1:17" ht="13.5" thickBot="1" x14ac:dyDescent="0.25">
      <c r="A32" s="77"/>
      <c r="B32" s="78"/>
      <c r="C32" s="48"/>
      <c r="D32" s="79"/>
      <c r="E32" s="81">
        <v>220</v>
      </c>
      <c r="F32" s="82">
        <v>240</v>
      </c>
      <c r="G32" s="56">
        <v>196</v>
      </c>
      <c r="H32" s="57">
        <v>200</v>
      </c>
      <c r="I32" s="84"/>
      <c r="J32" s="83"/>
      <c r="K32" s="83"/>
      <c r="L32" s="83"/>
      <c r="M32" s="45"/>
      <c r="N32" s="45"/>
      <c r="O32" s="45"/>
      <c r="P32" s="45"/>
      <c r="Q32" s="45"/>
    </row>
    <row r="33" spans="1:17" ht="13.5" thickBot="1" x14ac:dyDescent="0.25">
      <c r="A33" s="77"/>
      <c r="B33" s="78"/>
      <c r="C33" s="48"/>
      <c r="D33" s="79"/>
      <c r="E33" s="82">
        <v>240</v>
      </c>
      <c r="F33" s="82">
        <v>270</v>
      </c>
      <c r="G33" s="57">
        <v>200</v>
      </c>
      <c r="H33" s="56">
        <v>205</v>
      </c>
      <c r="I33" s="84"/>
      <c r="J33" s="83"/>
      <c r="K33" s="83"/>
      <c r="L33" s="83"/>
      <c r="M33" s="45"/>
      <c r="N33" s="45"/>
      <c r="O33" s="45"/>
      <c r="P33" s="45"/>
      <c r="Q33" s="45"/>
    </row>
    <row r="34" spans="1:17" s="87" customFormat="1" ht="13.5" thickBot="1" x14ac:dyDescent="0.25">
      <c r="A34" s="77"/>
      <c r="B34" s="78"/>
      <c r="C34" s="48"/>
      <c r="D34" s="79"/>
      <c r="E34" s="82">
        <v>270</v>
      </c>
      <c r="F34" s="82">
        <v>300</v>
      </c>
      <c r="G34" s="56">
        <v>205</v>
      </c>
      <c r="H34" s="57">
        <v>210</v>
      </c>
      <c r="I34" s="86"/>
      <c r="J34" s="83"/>
      <c r="K34" s="83"/>
      <c r="L34" s="83"/>
    </row>
    <row r="35" spans="1:17" s="87" customFormat="1" ht="13.5" thickBot="1" x14ac:dyDescent="0.25">
      <c r="A35" s="88"/>
      <c r="B35" s="88"/>
      <c r="C35" s="88"/>
      <c r="D35" s="88"/>
      <c r="E35" s="82">
        <v>300</v>
      </c>
      <c r="F35" s="82">
        <v>330</v>
      </c>
      <c r="G35" s="57">
        <v>210</v>
      </c>
      <c r="H35" s="56">
        <v>215</v>
      </c>
      <c r="I35" s="43"/>
      <c r="J35" s="83"/>
      <c r="K35" s="83"/>
      <c r="L35" s="83"/>
    </row>
    <row r="36" spans="1:17" s="87" customFormat="1" ht="13.5" thickBot="1" x14ac:dyDescent="0.25">
      <c r="E36" s="82">
        <v>330</v>
      </c>
      <c r="F36" s="82">
        <v>360</v>
      </c>
      <c r="G36" s="56">
        <v>215</v>
      </c>
      <c r="H36" s="57">
        <v>221</v>
      </c>
      <c r="I36" s="43"/>
      <c r="J36" s="83"/>
      <c r="K36" s="83"/>
      <c r="L36" s="83"/>
    </row>
    <row r="37" spans="1:17" s="87" customFormat="1" ht="13.5" thickBot="1" x14ac:dyDescent="0.25">
      <c r="E37" s="82">
        <v>360</v>
      </c>
      <c r="F37" s="82">
        <v>390</v>
      </c>
      <c r="G37" s="57">
        <v>221</v>
      </c>
      <c r="H37" s="56">
        <v>226</v>
      </c>
      <c r="I37" s="43"/>
      <c r="J37" s="83"/>
      <c r="K37" s="83"/>
      <c r="L37" s="83"/>
    </row>
    <row r="38" spans="1:17" s="87" customFormat="1" ht="13.5" thickBot="1" x14ac:dyDescent="0.25">
      <c r="E38" s="82">
        <v>390</v>
      </c>
      <c r="F38" s="85">
        <v>430</v>
      </c>
      <c r="G38" s="56">
        <v>226</v>
      </c>
      <c r="H38" s="57">
        <v>232</v>
      </c>
      <c r="I38" s="84"/>
      <c r="J38" s="83"/>
      <c r="K38" s="83"/>
      <c r="L38" s="83"/>
    </row>
    <row r="39" spans="1:17" ht="13.5" thickBot="1" x14ac:dyDescent="0.25">
      <c r="E39" s="85">
        <v>430</v>
      </c>
      <c r="F39" s="81">
        <v>470</v>
      </c>
      <c r="G39" s="57">
        <v>232</v>
      </c>
      <c r="H39" s="56">
        <v>237</v>
      </c>
      <c r="I39" s="84"/>
      <c r="J39" s="83"/>
      <c r="K39" s="83"/>
      <c r="L39" s="83"/>
      <c r="M39" s="45"/>
      <c r="N39" s="45"/>
      <c r="O39" s="45"/>
      <c r="P39" s="45"/>
      <c r="Q39" s="45"/>
    </row>
    <row r="40" spans="1:17" ht="13.5" thickBot="1" x14ac:dyDescent="0.25">
      <c r="E40" s="81">
        <v>470</v>
      </c>
      <c r="F40" s="82">
        <v>510</v>
      </c>
      <c r="G40" s="56">
        <v>237</v>
      </c>
      <c r="H40" s="57">
        <v>243</v>
      </c>
      <c r="I40" s="84"/>
      <c r="J40" s="83"/>
      <c r="K40" s="83"/>
      <c r="L40" s="83"/>
      <c r="M40" s="45"/>
      <c r="N40" s="45"/>
      <c r="O40" s="45"/>
      <c r="P40" s="45"/>
      <c r="Q40" s="45"/>
    </row>
    <row r="41" spans="1:17" ht="13.5" thickBot="1" x14ac:dyDescent="0.25">
      <c r="E41" s="82">
        <v>510</v>
      </c>
      <c r="F41" s="82">
        <v>560</v>
      </c>
      <c r="G41" s="57">
        <v>243</v>
      </c>
      <c r="H41" s="56">
        <v>249</v>
      </c>
      <c r="I41" s="84"/>
      <c r="J41" s="83"/>
      <c r="K41" s="83"/>
      <c r="L41" s="83"/>
      <c r="M41" s="45"/>
      <c r="N41" s="45"/>
      <c r="O41" s="45"/>
      <c r="P41" s="45"/>
      <c r="Q41" s="45"/>
    </row>
    <row r="42" spans="1:17" ht="13.5" thickBot="1" x14ac:dyDescent="0.25">
      <c r="E42" s="82">
        <v>560</v>
      </c>
      <c r="F42" s="82">
        <v>620</v>
      </c>
      <c r="G42" s="56">
        <v>249</v>
      </c>
      <c r="H42" s="57">
        <v>255</v>
      </c>
      <c r="I42" s="84"/>
      <c r="J42" s="83"/>
      <c r="K42" s="83"/>
      <c r="L42" s="83"/>
      <c r="M42" s="45"/>
      <c r="N42" s="45"/>
      <c r="O42" s="45"/>
      <c r="P42" s="45"/>
      <c r="Q42" s="45"/>
    </row>
    <row r="43" spans="1:17" ht="13.5" thickBot="1" x14ac:dyDescent="0.25">
      <c r="E43" s="82">
        <v>620</v>
      </c>
      <c r="F43" s="82">
        <v>680</v>
      </c>
      <c r="G43" s="57">
        <v>255</v>
      </c>
      <c r="H43" s="56">
        <v>261</v>
      </c>
      <c r="I43" s="84"/>
      <c r="J43" s="83"/>
      <c r="K43" s="83"/>
      <c r="L43" s="83"/>
      <c r="M43" s="45"/>
      <c r="N43" s="45"/>
      <c r="O43" s="45"/>
      <c r="P43" s="45"/>
      <c r="Q43" s="45"/>
    </row>
    <row r="44" spans="1:17" ht="13.5" thickBot="1" x14ac:dyDescent="0.25">
      <c r="E44" s="82">
        <v>680</v>
      </c>
      <c r="F44" s="82">
        <v>750</v>
      </c>
      <c r="G44" s="56">
        <v>261</v>
      </c>
      <c r="H44" s="57">
        <v>267</v>
      </c>
      <c r="I44" s="84"/>
      <c r="J44" s="83"/>
      <c r="K44" s="83"/>
      <c r="L44" s="83"/>
      <c r="M44" s="45"/>
      <c r="N44" s="45"/>
      <c r="O44" s="45"/>
      <c r="P44" s="45"/>
      <c r="Q44" s="45"/>
    </row>
    <row r="45" spans="1:17" ht="13.5" thickBot="1" x14ac:dyDescent="0.25">
      <c r="E45" s="82">
        <v>750</v>
      </c>
      <c r="F45" s="82">
        <v>820</v>
      </c>
      <c r="G45" s="57">
        <v>267</v>
      </c>
      <c r="H45" s="56">
        <v>274</v>
      </c>
      <c r="J45" s="83"/>
      <c r="K45" s="83"/>
      <c r="L45" s="83"/>
      <c r="M45" s="45"/>
      <c r="N45" s="45"/>
      <c r="O45" s="45"/>
      <c r="P45" s="45"/>
      <c r="Q45" s="45"/>
    </row>
    <row r="46" spans="1:17" ht="13.5" thickBot="1" x14ac:dyDescent="0.25">
      <c r="E46" s="82">
        <v>820</v>
      </c>
      <c r="F46" s="85">
        <v>910</v>
      </c>
      <c r="G46" s="56">
        <v>274</v>
      </c>
      <c r="H46" s="57">
        <v>280</v>
      </c>
      <c r="J46" s="83"/>
      <c r="K46" s="83"/>
      <c r="L46" s="83"/>
      <c r="M46" s="45"/>
      <c r="N46" s="45"/>
      <c r="O46" s="45"/>
      <c r="P46" s="45"/>
      <c r="Q46" s="45"/>
    </row>
    <row r="47" spans="1:17" ht="13.5" thickBot="1" x14ac:dyDescent="0.25">
      <c r="E47" s="85">
        <v>910</v>
      </c>
      <c r="F47" s="85">
        <v>1000</v>
      </c>
      <c r="G47" s="57">
        <v>280</v>
      </c>
      <c r="H47" s="56">
        <v>287</v>
      </c>
      <c r="J47" s="83"/>
      <c r="K47" s="83"/>
      <c r="L47" s="83"/>
      <c r="M47" s="45"/>
      <c r="N47" s="45"/>
      <c r="O47" s="45"/>
      <c r="P47" s="45"/>
      <c r="Q47" s="45"/>
    </row>
    <row r="48" spans="1:17" ht="13.5" thickBot="1" x14ac:dyDescent="0.25">
      <c r="E48" s="244" t="s">
        <v>104</v>
      </c>
      <c r="F48" s="244"/>
      <c r="G48" s="56">
        <v>287</v>
      </c>
      <c r="H48" s="57">
        <v>294</v>
      </c>
      <c r="J48" s="83"/>
      <c r="K48" s="83"/>
      <c r="L48" s="83"/>
      <c r="M48" s="45"/>
      <c r="N48" s="45"/>
      <c r="O48" s="45"/>
      <c r="P48" s="45"/>
      <c r="Q48" s="45"/>
    </row>
    <row r="49" spans="1:17" ht="13.5" thickBot="1" x14ac:dyDescent="0.25">
      <c r="E49" s="89">
        <v>100</v>
      </c>
      <c r="F49" s="89">
        <v>105</v>
      </c>
      <c r="G49" s="57">
        <v>294</v>
      </c>
      <c r="H49" s="56">
        <v>301</v>
      </c>
      <c r="J49" s="83"/>
      <c r="K49" s="83"/>
      <c r="L49" s="83"/>
      <c r="M49" s="45"/>
      <c r="N49" s="45"/>
      <c r="O49" s="45"/>
      <c r="P49" s="45"/>
      <c r="Q49" s="45"/>
    </row>
    <row r="50" spans="1:17" ht="13.5" thickBot="1" x14ac:dyDescent="0.25">
      <c r="A50" s="45"/>
      <c r="B50" s="45"/>
      <c r="C50" s="45"/>
      <c r="D50" s="45"/>
      <c r="E50" s="89">
        <v>105</v>
      </c>
      <c r="F50" s="89">
        <v>110</v>
      </c>
      <c r="G50" s="56">
        <v>301</v>
      </c>
      <c r="H50" s="57">
        <v>309</v>
      </c>
      <c r="J50" s="83"/>
      <c r="K50" s="83"/>
      <c r="L50" s="83"/>
      <c r="M50" s="45"/>
      <c r="N50" s="45"/>
      <c r="O50" s="45"/>
      <c r="P50" s="45"/>
      <c r="Q50" s="45"/>
    </row>
    <row r="51" spans="1:17" ht="13.5" thickBot="1" x14ac:dyDescent="0.25">
      <c r="A51" s="45"/>
      <c r="B51" s="45"/>
      <c r="C51" s="45"/>
      <c r="D51" s="45"/>
      <c r="E51" s="89">
        <v>110</v>
      </c>
      <c r="F51" s="89">
        <v>115</v>
      </c>
      <c r="G51" s="57">
        <v>309</v>
      </c>
      <c r="H51" s="56">
        <v>316</v>
      </c>
      <c r="J51" s="83"/>
      <c r="K51" s="83"/>
      <c r="L51" s="83"/>
      <c r="M51" s="45"/>
      <c r="N51" s="45"/>
      <c r="O51" s="45"/>
      <c r="P51" s="45"/>
      <c r="Q51" s="45"/>
    </row>
    <row r="52" spans="1:17" ht="13.5" thickBot="1" x14ac:dyDescent="0.25">
      <c r="A52" s="45"/>
      <c r="B52" s="45"/>
      <c r="C52" s="45"/>
      <c r="D52" s="45"/>
      <c r="E52" s="89">
        <v>115</v>
      </c>
      <c r="F52" s="89">
        <v>121</v>
      </c>
      <c r="G52" s="56">
        <v>316</v>
      </c>
      <c r="H52" s="57">
        <v>324</v>
      </c>
      <c r="J52" s="83"/>
      <c r="K52" s="83"/>
      <c r="L52" s="83"/>
      <c r="M52" s="45"/>
      <c r="N52" s="45"/>
      <c r="O52" s="45"/>
      <c r="P52" s="45"/>
      <c r="Q52" s="45"/>
    </row>
    <row r="53" spans="1:17" ht="13.5" thickBot="1" x14ac:dyDescent="0.25">
      <c r="A53" s="45"/>
      <c r="B53" s="45"/>
      <c r="C53" s="45"/>
      <c r="D53" s="45"/>
      <c r="E53" s="89">
        <v>121</v>
      </c>
      <c r="F53" s="89">
        <v>127</v>
      </c>
      <c r="G53" s="57">
        <v>324</v>
      </c>
      <c r="H53" s="56">
        <v>332</v>
      </c>
      <c r="J53" s="83"/>
      <c r="K53" s="83"/>
      <c r="L53" s="83"/>
      <c r="M53" s="45"/>
      <c r="N53" s="45"/>
      <c r="O53" s="45"/>
      <c r="P53" s="45"/>
      <c r="Q53" s="45"/>
    </row>
    <row r="54" spans="1:17" ht="13.5" thickBot="1" x14ac:dyDescent="0.25">
      <c r="A54" s="45"/>
      <c r="B54" s="45"/>
      <c r="C54" s="45"/>
      <c r="D54" s="45"/>
      <c r="E54" s="89">
        <v>127</v>
      </c>
      <c r="F54" s="89">
        <v>133</v>
      </c>
      <c r="G54" s="56">
        <v>332</v>
      </c>
      <c r="H54" s="57">
        <v>340</v>
      </c>
      <c r="J54" s="83"/>
      <c r="K54" s="83"/>
      <c r="L54" s="83"/>
      <c r="M54" s="45"/>
      <c r="N54" s="45"/>
      <c r="O54" s="45"/>
      <c r="P54" s="45"/>
      <c r="Q54" s="45"/>
    </row>
    <row r="55" spans="1:17" ht="13.5" thickBot="1" x14ac:dyDescent="0.25">
      <c r="A55" s="45"/>
      <c r="B55" s="45"/>
      <c r="C55" s="45"/>
      <c r="D55" s="45"/>
      <c r="E55" s="89">
        <v>133</v>
      </c>
      <c r="F55" s="89">
        <v>140</v>
      </c>
      <c r="G55" s="57">
        <v>340</v>
      </c>
      <c r="H55" s="56">
        <v>348</v>
      </c>
      <c r="J55" s="83"/>
      <c r="K55" s="83"/>
      <c r="L55" s="83"/>
      <c r="M55" s="45"/>
      <c r="N55" s="45"/>
      <c r="O55" s="45"/>
      <c r="P55" s="45"/>
      <c r="Q55" s="45"/>
    </row>
    <row r="56" spans="1:17" ht="13.5" thickBot="1" x14ac:dyDescent="0.25">
      <c r="A56" s="45"/>
      <c r="B56" s="45"/>
      <c r="C56" s="45"/>
      <c r="D56" s="45"/>
      <c r="E56" s="89">
        <v>140</v>
      </c>
      <c r="F56" s="89">
        <v>147</v>
      </c>
      <c r="G56" s="56">
        <v>348</v>
      </c>
      <c r="H56" s="57">
        <v>357</v>
      </c>
      <c r="J56" s="83"/>
      <c r="K56" s="83"/>
      <c r="L56" s="83"/>
      <c r="M56" s="45"/>
      <c r="N56" s="45"/>
      <c r="O56" s="45"/>
      <c r="P56" s="45"/>
      <c r="Q56" s="45"/>
    </row>
    <row r="57" spans="1:17" ht="13.5" thickBot="1" x14ac:dyDescent="0.25">
      <c r="A57" s="45"/>
      <c r="B57" s="45"/>
      <c r="C57" s="45"/>
      <c r="D57" s="45"/>
      <c r="E57" s="89">
        <v>147</v>
      </c>
      <c r="F57" s="89">
        <v>154</v>
      </c>
      <c r="G57" s="57">
        <v>357</v>
      </c>
      <c r="H57" s="56">
        <v>365</v>
      </c>
      <c r="J57" s="83"/>
      <c r="K57" s="83"/>
      <c r="L57" s="83"/>
      <c r="M57" s="45"/>
      <c r="N57" s="45"/>
      <c r="O57" s="45"/>
      <c r="P57" s="45"/>
      <c r="Q57" s="45"/>
    </row>
    <row r="58" spans="1:17" ht="13.5" thickBot="1" x14ac:dyDescent="0.25">
      <c r="A58" s="45"/>
      <c r="B58" s="45"/>
      <c r="C58" s="45"/>
      <c r="D58" s="45"/>
      <c r="E58" s="89">
        <v>154</v>
      </c>
      <c r="F58" s="89">
        <v>162</v>
      </c>
      <c r="G58" s="56">
        <v>365</v>
      </c>
      <c r="H58" s="57">
        <v>374</v>
      </c>
      <c r="J58" s="83"/>
      <c r="K58" s="83"/>
      <c r="L58" s="83"/>
      <c r="M58" s="45"/>
      <c r="N58" s="45"/>
      <c r="O58" s="45"/>
      <c r="P58" s="45"/>
      <c r="Q58" s="45"/>
    </row>
    <row r="59" spans="1:17" ht="13.5" thickBot="1" x14ac:dyDescent="0.25">
      <c r="A59" s="45"/>
      <c r="B59" s="45"/>
      <c r="C59" s="45"/>
      <c r="D59" s="45"/>
      <c r="E59" s="89">
        <v>162</v>
      </c>
      <c r="F59" s="89">
        <v>169</v>
      </c>
      <c r="G59" s="57">
        <v>374</v>
      </c>
      <c r="H59" s="56">
        <v>383</v>
      </c>
      <c r="J59" s="83"/>
      <c r="K59" s="83"/>
      <c r="L59" s="83"/>
      <c r="M59" s="45"/>
      <c r="N59" s="45"/>
      <c r="O59" s="45"/>
      <c r="P59" s="45"/>
      <c r="Q59" s="45"/>
    </row>
    <row r="60" spans="1:17" ht="13.5" thickBot="1" x14ac:dyDescent="0.25">
      <c r="A60" s="45"/>
      <c r="B60" s="45"/>
      <c r="C60" s="45"/>
      <c r="D60" s="45"/>
      <c r="E60" s="89">
        <v>169</v>
      </c>
      <c r="F60" s="89">
        <v>178</v>
      </c>
      <c r="G60" s="56">
        <v>383</v>
      </c>
      <c r="H60" s="57">
        <v>392</v>
      </c>
      <c r="J60" s="83"/>
      <c r="K60" s="83"/>
      <c r="L60" s="83"/>
      <c r="M60" s="45"/>
      <c r="N60" s="45"/>
      <c r="O60" s="45"/>
      <c r="P60" s="45"/>
      <c r="Q60" s="45"/>
    </row>
    <row r="61" spans="1:17" ht="13.5" thickBot="1" x14ac:dyDescent="0.25">
      <c r="A61" s="45"/>
      <c r="B61" s="45"/>
      <c r="C61" s="45"/>
      <c r="D61" s="45"/>
      <c r="E61" s="89">
        <v>178</v>
      </c>
      <c r="F61" s="89">
        <v>187</v>
      </c>
      <c r="G61" s="57">
        <v>392</v>
      </c>
      <c r="H61" s="56">
        <v>402</v>
      </c>
      <c r="J61" s="83"/>
      <c r="K61" s="83"/>
      <c r="L61" s="83"/>
      <c r="M61" s="45"/>
      <c r="N61" s="45"/>
      <c r="O61" s="45"/>
      <c r="P61" s="45"/>
      <c r="Q61" s="45"/>
    </row>
    <row r="62" spans="1:17" ht="13.5" thickBot="1" x14ac:dyDescent="0.25">
      <c r="A62" s="45"/>
      <c r="B62" s="45"/>
      <c r="C62" s="45"/>
      <c r="D62" s="45"/>
      <c r="E62" s="89">
        <v>187</v>
      </c>
      <c r="F62" s="89">
        <v>196</v>
      </c>
      <c r="G62" s="56">
        <v>402</v>
      </c>
      <c r="H62" s="57">
        <v>412</v>
      </c>
      <c r="J62" s="83"/>
      <c r="K62" s="83"/>
      <c r="L62" s="83"/>
      <c r="M62" s="45"/>
      <c r="N62" s="45"/>
      <c r="O62" s="45"/>
      <c r="P62" s="45"/>
      <c r="Q62" s="45"/>
    </row>
    <row r="63" spans="1:17" ht="13.5" thickBot="1" x14ac:dyDescent="0.25">
      <c r="A63" s="45"/>
      <c r="B63" s="45"/>
      <c r="C63" s="45"/>
      <c r="D63" s="45"/>
      <c r="E63" s="89">
        <v>196</v>
      </c>
      <c r="F63" s="89">
        <v>205</v>
      </c>
      <c r="G63" s="57">
        <v>412</v>
      </c>
      <c r="H63" s="56">
        <v>422</v>
      </c>
      <c r="J63" s="83"/>
      <c r="K63" s="83"/>
      <c r="L63" s="83"/>
      <c r="M63" s="45"/>
      <c r="N63" s="45"/>
      <c r="O63" s="45"/>
      <c r="P63" s="45"/>
      <c r="Q63" s="45"/>
    </row>
    <row r="64" spans="1:17" ht="13.5" thickBot="1" x14ac:dyDescent="0.25">
      <c r="A64" s="45"/>
      <c r="B64" s="45"/>
      <c r="C64" s="45"/>
      <c r="D64" s="45"/>
      <c r="E64" s="89">
        <v>205</v>
      </c>
      <c r="F64" s="89">
        <v>215</v>
      </c>
      <c r="G64" s="56">
        <v>422</v>
      </c>
      <c r="H64" s="57">
        <v>432</v>
      </c>
      <c r="J64" s="83"/>
      <c r="K64" s="83"/>
      <c r="L64" s="83"/>
      <c r="M64" s="45"/>
      <c r="N64" s="45"/>
      <c r="O64" s="45"/>
      <c r="P64" s="45"/>
      <c r="Q64" s="45"/>
    </row>
    <row r="65" spans="1:17" ht="13.5" thickBot="1" x14ac:dyDescent="0.25">
      <c r="A65" s="45"/>
      <c r="B65" s="45"/>
      <c r="C65" s="45"/>
      <c r="D65" s="45"/>
      <c r="E65" s="89">
        <v>215</v>
      </c>
      <c r="F65" s="89">
        <v>226</v>
      </c>
      <c r="G65" s="57">
        <v>432</v>
      </c>
      <c r="H65" s="56">
        <v>442</v>
      </c>
      <c r="J65" s="83"/>
      <c r="K65" s="83"/>
      <c r="L65" s="83"/>
      <c r="M65" s="45"/>
      <c r="N65" s="45"/>
      <c r="O65" s="45"/>
      <c r="P65" s="45"/>
      <c r="Q65" s="45"/>
    </row>
    <row r="66" spans="1:17" ht="13.5" thickBot="1" x14ac:dyDescent="0.25">
      <c r="A66" s="45"/>
      <c r="B66" s="45"/>
      <c r="C66" s="45"/>
      <c r="D66" s="45"/>
      <c r="E66" s="89">
        <v>226</v>
      </c>
      <c r="F66" s="89">
        <v>237</v>
      </c>
      <c r="G66" s="56">
        <v>442</v>
      </c>
      <c r="H66" s="57">
        <v>453</v>
      </c>
      <c r="J66" s="83"/>
      <c r="K66" s="83"/>
      <c r="L66" s="83"/>
      <c r="M66" s="45"/>
      <c r="N66" s="45"/>
      <c r="O66" s="45"/>
      <c r="P66" s="45"/>
      <c r="Q66" s="45"/>
    </row>
    <row r="67" spans="1:17" ht="13.5" thickBot="1" x14ac:dyDescent="0.25">
      <c r="A67" s="45"/>
      <c r="B67" s="45"/>
      <c r="C67" s="45"/>
      <c r="D67" s="45"/>
      <c r="E67" s="89">
        <v>237</v>
      </c>
      <c r="F67" s="89">
        <v>249</v>
      </c>
      <c r="G67" s="57">
        <v>453</v>
      </c>
      <c r="H67" s="56">
        <v>464</v>
      </c>
      <c r="J67" s="83"/>
      <c r="K67" s="83"/>
      <c r="L67" s="83"/>
      <c r="M67" s="45"/>
      <c r="N67" s="45"/>
      <c r="O67" s="45"/>
      <c r="P67" s="45"/>
      <c r="Q67" s="45"/>
    </row>
    <row r="68" spans="1:17" ht="13.5" thickBot="1" x14ac:dyDescent="0.25">
      <c r="A68" s="45"/>
      <c r="B68" s="45"/>
      <c r="C68" s="45"/>
      <c r="D68" s="45"/>
      <c r="E68" s="89">
        <v>249</v>
      </c>
      <c r="F68" s="89">
        <v>261</v>
      </c>
      <c r="G68" s="56">
        <v>464</v>
      </c>
      <c r="H68" s="57">
        <v>475</v>
      </c>
      <c r="J68" s="83"/>
      <c r="K68" s="83"/>
      <c r="L68" s="83"/>
      <c r="M68" s="45"/>
      <c r="N68" s="45"/>
      <c r="O68" s="45"/>
      <c r="P68" s="45"/>
      <c r="Q68" s="45"/>
    </row>
    <row r="69" spans="1:17" ht="13.5" thickBot="1" x14ac:dyDescent="0.25">
      <c r="A69" s="45"/>
      <c r="B69" s="45"/>
      <c r="C69" s="45"/>
      <c r="D69" s="45"/>
      <c r="E69" s="89">
        <v>261</v>
      </c>
      <c r="F69" s="89">
        <v>274</v>
      </c>
      <c r="G69" s="57">
        <v>475</v>
      </c>
      <c r="H69" s="56">
        <v>487</v>
      </c>
      <c r="J69" s="83"/>
      <c r="K69" s="83"/>
      <c r="L69" s="83"/>
      <c r="M69" s="45"/>
      <c r="N69" s="45"/>
      <c r="O69" s="45"/>
      <c r="P69" s="45"/>
      <c r="Q69" s="45"/>
    </row>
    <row r="70" spans="1:17" ht="13.5" thickBot="1" x14ac:dyDescent="0.25">
      <c r="A70" s="45"/>
      <c r="B70" s="45"/>
      <c r="C70" s="45"/>
      <c r="D70" s="45"/>
      <c r="E70" s="89">
        <v>274</v>
      </c>
      <c r="F70" s="89">
        <v>287</v>
      </c>
      <c r="G70" s="56">
        <v>487</v>
      </c>
      <c r="H70" s="57">
        <v>499</v>
      </c>
      <c r="J70" s="83"/>
      <c r="K70" s="83"/>
      <c r="L70" s="83"/>
      <c r="M70" s="45"/>
      <c r="N70" s="45"/>
      <c r="O70" s="45"/>
      <c r="P70" s="45"/>
      <c r="Q70" s="45"/>
    </row>
    <row r="71" spans="1:17" ht="13.5" thickBot="1" x14ac:dyDescent="0.25">
      <c r="A71" s="45"/>
      <c r="B71" s="45"/>
      <c r="C71" s="45"/>
      <c r="D71" s="45"/>
      <c r="E71" s="89">
        <v>287</v>
      </c>
      <c r="F71" s="89">
        <v>301</v>
      </c>
      <c r="G71" s="57">
        <v>499</v>
      </c>
      <c r="H71" s="56">
        <v>511</v>
      </c>
      <c r="J71" s="83"/>
      <c r="K71" s="83"/>
      <c r="L71" s="83"/>
      <c r="M71" s="45"/>
      <c r="N71" s="45"/>
      <c r="O71" s="45"/>
      <c r="P71" s="45"/>
      <c r="Q71" s="45"/>
    </row>
    <row r="72" spans="1:17" ht="13.5" thickBot="1" x14ac:dyDescent="0.25">
      <c r="A72" s="45"/>
      <c r="B72" s="45"/>
      <c r="C72" s="45"/>
      <c r="D72" s="45"/>
      <c r="E72" s="89">
        <v>301</v>
      </c>
      <c r="F72" s="89">
        <v>316</v>
      </c>
      <c r="G72" s="56">
        <v>511</v>
      </c>
      <c r="H72" s="57">
        <v>523</v>
      </c>
      <c r="J72" s="83"/>
      <c r="K72" s="83"/>
      <c r="L72" s="83"/>
      <c r="M72" s="45"/>
      <c r="N72" s="45"/>
      <c r="O72" s="45"/>
      <c r="P72" s="45"/>
      <c r="Q72" s="45"/>
    </row>
    <row r="73" spans="1:17" ht="13.5" thickBot="1" x14ac:dyDescent="0.25">
      <c r="A73" s="45"/>
      <c r="B73" s="45"/>
      <c r="C73" s="45"/>
      <c r="D73" s="45"/>
      <c r="E73" s="89">
        <v>316</v>
      </c>
      <c r="F73" s="89">
        <v>332</v>
      </c>
      <c r="G73" s="57">
        <v>523</v>
      </c>
      <c r="H73" s="56">
        <v>536</v>
      </c>
      <c r="J73" s="83"/>
      <c r="K73" s="83"/>
      <c r="L73" s="83"/>
      <c r="M73" s="45"/>
      <c r="N73" s="45"/>
      <c r="O73" s="45"/>
      <c r="P73" s="45"/>
      <c r="Q73" s="45"/>
    </row>
    <row r="74" spans="1:17" ht="13.5" thickBot="1" x14ac:dyDescent="0.25">
      <c r="A74" s="45"/>
      <c r="B74" s="45"/>
      <c r="C74" s="45"/>
      <c r="D74" s="45"/>
      <c r="E74" s="89">
        <v>332</v>
      </c>
      <c r="F74" s="89">
        <v>348</v>
      </c>
      <c r="G74" s="56">
        <v>536</v>
      </c>
      <c r="H74" s="57">
        <v>549</v>
      </c>
      <c r="J74" s="83"/>
      <c r="K74" s="83"/>
      <c r="L74" s="83"/>
      <c r="M74" s="45"/>
      <c r="N74" s="45"/>
      <c r="O74" s="45"/>
      <c r="P74" s="45"/>
      <c r="Q74" s="45"/>
    </row>
    <row r="75" spans="1:17" ht="13.5" thickBot="1" x14ac:dyDescent="0.25">
      <c r="A75" s="45"/>
      <c r="B75" s="45"/>
      <c r="C75" s="45"/>
      <c r="D75" s="45"/>
      <c r="E75" s="89">
        <v>348</v>
      </c>
      <c r="F75" s="89">
        <v>365</v>
      </c>
      <c r="G75" s="57">
        <v>549</v>
      </c>
      <c r="H75" s="56">
        <v>562</v>
      </c>
      <c r="J75" s="83"/>
      <c r="K75" s="83"/>
      <c r="L75" s="83"/>
      <c r="M75" s="45"/>
      <c r="N75" s="45"/>
      <c r="O75" s="45"/>
      <c r="P75" s="45"/>
      <c r="Q75" s="45"/>
    </row>
    <row r="76" spans="1:17" ht="13.5" thickBot="1" x14ac:dyDescent="0.25">
      <c r="A76" s="45"/>
      <c r="B76" s="45"/>
      <c r="C76" s="45"/>
      <c r="D76" s="45"/>
      <c r="E76" s="89">
        <v>365</v>
      </c>
      <c r="F76" s="89">
        <v>383</v>
      </c>
      <c r="G76" s="56">
        <v>562</v>
      </c>
      <c r="H76" s="57">
        <v>576</v>
      </c>
      <c r="J76" s="90"/>
      <c r="K76" s="90"/>
      <c r="L76" s="90"/>
      <c r="M76" s="45"/>
      <c r="N76" s="45"/>
      <c r="O76" s="45"/>
      <c r="P76" s="45"/>
      <c r="Q76" s="45"/>
    </row>
    <row r="77" spans="1:17" ht="13.5" thickBot="1" x14ac:dyDescent="0.25">
      <c r="A77" s="45"/>
      <c r="B77" s="45"/>
      <c r="C77" s="45"/>
      <c r="D77" s="45"/>
      <c r="E77" s="89">
        <v>383</v>
      </c>
      <c r="F77" s="89">
        <v>402</v>
      </c>
      <c r="G77" s="57">
        <v>576</v>
      </c>
      <c r="H77" s="56">
        <v>590</v>
      </c>
      <c r="J77" s="90"/>
      <c r="K77" s="90"/>
      <c r="L77" s="90"/>
      <c r="M77" s="45"/>
      <c r="N77" s="45"/>
      <c r="O77" s="45"/>
      <c r="P77" s="45"/>
      <c r="Q77" s="45"/>
    </row>
    <row r="78" spans="1:17" ht="13.5" thickBot="1" x14ac:dyDescent="0.25">
      <c r="A78" s="45"/>
      <c r="B78" s="45"/>
      <c r="C78" s="45"/>
      <c r="D78" s="45"/>
      <c r="E78" s="89">
        <v>402</v>
      </c>
      <c r="F78" s="89">
        <v>422</v>
      </c>
      <c r="G78" s="56">
        <v>590</v>
      </c>
      <c r="H78" s="57">
        <v>604</v>
      </c>
      <c r="J78" s="90"/>
      <c r="K78" s="90"/>
      <c r="L78" s="90"/>
      <c r="M78" s="45"/>
      <c r="N78" s="45"/>
      <c r="O78" s="45"/>
      <c r="P78" s="45"/>
      <c r="Q78" s="45"/>
    </row>
    <row r="79" spans="1:17" ht="13.5" thickBot="1" x14ac:dyDescent="0.25">
      <c r="A79" s="45"/>
      <c r="B79" s="45"/>
      <c r="C79" s="45"/>
      <c r="D79" s="45"/>
      <c r="E79" s="89">
        <v>422</v>
      </c>
      <c r="F79" s="89">
        <v>442</v>
      </c>
      <c r="G79" s="57">
        <v>604</v>
      </c>
      <c r="H79" s="56">
        <v>619</v>
      </c>
      <c r="J79" s="90"/>
      <c r="K79" s="90"/>
      <c r="L79" s="90"/>
      <c r="M79" s="45"/>
      <c r="N79" s="45"/>
      <c r="O79" s="45"/>
      <c r="P79" s="45"/>
      <c r="Q79" s="45"/>
    </row>
    <row r="80" spans="1:17" ht="13.5" thickBot="1" x14ac:dyDescent="0.25">
      <c r="A80" s="45"/>
      <c r="B80" s="45"/>
      <c r="C80" s="45"/>
      <c r="D80" s="45"/>
      <c r="E80" s="89">
        <v>442</v>
      </c>
      <c r="F80" s="89">
        <v>464</v>
      </c>
      <c r="G80" s="56">
        <v>619</v>
      </c>
      <c r="H80" s="57">
        <v>634</v>
      </c>
      <c r="J80" s="90"/>
      <c r="K80" s="90"/>
      <c r="L80" s="90"/>
      <c r="M80" s="45"/>
      <c r="N80" s="45"/>
      <c r="O80" s="45"/>
      <c r="P80" s="45"/>
      <c r="Q80" s="45"/>
    </row>
    <row r="81" spans="1:17" ht="13.5" thickBot="1" x14ac:dyDescent="0.25">
      <c r="A81" s="45"/>
      <c r="B81" s="45"/>
      <c r="C81" s="45"/>
      <c r="D81" s="45"/>
      <c r="E81" s="89">
        <v>464</v>
      </c>
      <c r="F81" s="89">
        <v>487</v>
      </c>
      <c r="G81" s="57">
        <v>634</v>
      </c>
      <c r="H81" s="56">
        <v>649</v>
      </c>
      <c r="J81" s="90"/>
      <c r="K81" s="90"/>
      <c r="L81" s="90"/>
      <c r="M81" s="45"/>
      <c r="N81" s="45"/>
      <c r="O81" s="45"/>
      <c r="P81" s="45"/>
      <c r="Q81" s="45"/>
    </row>
    <row r="82" spans="1:17" ht="13.5" thickBot="1" x14ac:dyDescent="0.25">
      <c r="A82" s="45"/>
      <c r="B82" s="45"/>
      <c r="C82" s="45"/>
      <c r="D82" s="45"/>
      <c r="E82" s="89">
        <v>487</v>
      </c>
      <c r="F82" s="89">
        <v>511</v>
      </c>
      <c r="G82" s="56">
        <v>649</v>
      </c>
      <c r="H82" s="57">
        <v>665</v>
      </c>
      <c r="J82" s="90"/>
      <c r="K82" s="90"/>
      <c r="L82" s="90"/>
      <c r="M82" s="45"/>
      <c r="N82" s="45"/>
      <c r="O82" s="45"/>
      <c r="P82" s="45"/>
      <c r="Q82" s="45"/>
    </row>
    <row r="83" spans="1:17" ht="13.5" thickBot="1" x14ac:dyDescent="0.25">
      <c r="A83" s="45"/>
      <c r="B83" s="45"/>
      <c r="C83" s="45"/>
      <c r="D83" s="45"/>
      <c r="E83" s="89">
        <v>511</v>
      </c>
      <c r="F83" s="89">
        <v>536</v>
      </c>
      <c r="G83" s="57">
        <v>665</v>
      </c>
      <c r="H83" s="56">
        <v>681</v>
      </c>
      <c r="J83" s="90"/>
      <c r="K83" s="90"/>
      <c r="L83" s="90"/>
      <c r="M83" s="45"/>
      <c r="N83" s="45"/>
      <c r="O83" s="45"/>
      <c r="P83" s="45"/>
      <c r="Q83" s="45"/>
    </row>
    <row r="84" spans="1:17" ht="13.5" thickBot="1" x14ac:dyDescent="0.25">
      <c r="A84" s="45"/>
      <c r="B84" s="45"/>
      <c r="C84" s="45"/>
      <c r="D84" s="45"/>
      <c r="E84" s="89">
        <v>536</v>
      </c>
      <c r="F84" s="89">
        <v>562</v>
      </c>
      <c r="G84" s="56">
        <v>681</v>
      </c>
      <c r="H84" s="57">
        <v>698</v>
      </c>
      <c r="J84" s="90"/>
      <c r="K84" s="90"/>
      <c r="L84" s="90"/>
      <c r="M84" s="45"/>
      <c r="N84" s="45"/>
      <c r="O84" s="45"/>
      <c r="P84" s="45"/>
      <c r="Q84" s="45"/>
    </row>
    <row r="85" spans="1:17" ht="13.5" thickBot="1" x14ac:dyDescent="0.25">
      <c r="A85" s="45"/>
      <c r="B85" s="45"/>
      <c r="C85" s="45"/>
      <c r="D85" s="45"/>
      <c r="E85" s="89">
        <v>562</v>
      </c>
      <c r="F85" s="89">
        <v>590</v>
      </c>
      <c r="G85" s="57">
        <v>698</v>
      </c>
      <c r="H85" s="56">
        <v>715</v>
      </c>
      <c r="J85" s="90"/>
      <c r="K85" s="90"/>
      <c r="L85" s="90"/>
      <c r="M85" s="45"/>
      <c r="N85" s="45"/>
      <c r="O85" s="45"/>
      <c r="P85" s="45"/>
      <c r="Q85" s="45"/>
    </row>
    <row r="86" spans="1:17" ht="13.5" thickBot="1" x14ac:dyDescent="0.25">
      <c r="A86" s="45"/>
      <c r="B86" s="45"/>
      <c r="C86" s="45"/>
      <c r="D86" s="45"/>
      <c r="E86" s="89">
        <v>590</v>
      </c>
      <c r="F86" s="89">
        <v>619</v>
      </c>
      <c r="G86" s="56">
        <v>715</v>
      </c>
      <c r="H86" s="57">
        <v>732</v>
      </c>
      <c r="J86" s="90"/>
      <c r="K86" s="90"/>
      <c r="L86" s="90"/>
      <c r="M86" s="45"/>
      <c r="N86" s="45"/>
      <c r="O86" s="45"/>
      <c r="P86" s="45"/>
      <c r="Q86" s="45"/>
    </row>
    <row r="87" spans="1:17" ht="13.5" thickBot="1" x14ac:dyDescent="0.25">
      <c r="A87" s="45"/>
      <c r="B87" s="45"/>
      <c r="C87" s="45"/>
      <c r="D87" s="45"/>
      <c r="E87" s="89">
        <v>619</v>
      </c>
      <c r="F87" s="89">
        <v>649</v>
      </c>
      <c r="G87" s="57">
        <v>732</v>
      </c>
      <c r="H87" s="56">
        <v>750</v>
      </c>
      <c r="J87" s="90"/>
      <c r="K87" s="90"/>
      <c r="L87" s="90"/>
      <c r="M87" s="45"/>
      <c r="N87" s="45"/>
      <c r="O87" s="45"/>
      <c r="P87" s="45"/>
      <c r="Q87" s="45"/>
    </row>
    <row r="88" spans="1:17" ht="13.5" thickBot="1" x14ac:dyDescent="0.25">
      <c r="A88" s="45"/>
      <c r="B88" s="45"/>
      <c r="C88" s="45"/>
      <c r="D88" s="45"/>
      <c r="E88" s="89">
        <v>649</v>
      </c>
      <c r="F88" s="89">
        <v>681</v>
      </c>
      <c r="G88" s="56">
        <v>750</v>
      </c>
      <c r="H88" s="57">
        <v>768</v>
      </c>
      <c r="J88" s="90"/>
      <c r="K88" s="90"/>
      <c r="L88" s="90"/>
      <c r="M88" s="45"/>
      <c r="N88" s="45"/>
      <c r="O88" s="45"/>
      <c r="P88" s="45"/>
      <c r="Q88" s="45"/>
    </row>
    <row r="89" spans="1:17" ht="13.5" thickBot="1" x14ac:dyDescent="0.25">
      <c r="A89" s="45"/>
      <c r="B89" s="45"/>
      <c r="C89" s="45"/>
      <c r="D89" s="45"/>
      <c r="E89" s="89">
        <v>681</v>
      </c>
      <c r="F89" s="89">
        <v>715</v>
      </c>
      <c r="G89" s="57">
        <v>768</v>
      </c>
      <c r="H89" s="56">
        <v>787</v>
      </c>
      <c r="J89" s="90"/>
      <c r="K89" s="90"/>
      <c r="L89" s="90"/>
      <c r="M89" s="45"/>
      <c r="N89" s="45"/>
      <c r="O89" s="45"/>
      <c r="P89" s="45"/>
      <c r="Q89" s="45"/>
    </row>
    <row r="90" spans="1:17" ht="13.5" thickBot="1" x14ac:dyDescent="0.25">
      <c r="A90" s="45"/>
      <c r="B90" s="45"/>
      <c r="C90" s="45"/>
      <c r="D90" s="45"/>
      <c r="E90" s="89">
        <v>715</v>
      </c>
      <c r="F90" s="89">
        <v>750</v>
      </c>
      <c r="G90" s="56">
        <v>787</v>
      </c>
      <c r="H90" s="57">
        <v>806</v>
      </c>
      <c r="J90" s="90"/>
      <c r="K90" s="90"/>
      <c r="L90" s="90"/>
      <c r="M90" s="45"/>
      <c r="N90" s="45"/>
      <c r="O90" s="45"/>
      <c r="P90" s="45"/>
      <c r="Q90" s="45"/>
    </row>
    <row r="91" spans="1:17" ht="13.5" thickBot="1" x14ac:dyDescent="0.25">
      <c r="A91" s="45"/>
      <c r="B91" s="45"/>
      <c r="C91" s="45"/>
      <c r="D91" s="45"/>
      <c r="E91" s="89">
        <v>750</v>
      </c>
      <c r="F91" s="89">
        <v>787</v>
      </c>
      <c r="G91" s="57">
        <v>806</v>
      </c>
      <c r="H91" s="56">
        <v>825</v>
      </c>
      <c r="J91" s="90"/>
      <c r="K91" s="90"/>
      <c r="L91" s="90"/>
      <c r="M91" s="45"/>
      <c r="N91" s="45"/>
      <c r="O91" s="45"/>
      <c r="P91" s="45"/>
      <c r="Q91" s="45"/>
    </row>
    <row r="92" spans="1:17" ht="13.5" thickBot="1" x14ac:dyDescent="0.25">
      <c r="A92" s="45"/>
      <c r="B92" s="45"/>
      <c r="C92" s="45"/>
      <c r="D92" s="45"/>
      <c r="E92" s="89">
        <v>787</v>
      </c>
      <c r="F92" s="89">
        <v>825</v>
      </c>
      <c r="G92" s="56">
        <v>825</v>
      </c>
      <c r="H92" s="57">
        <v>845</v>
      </c>
      <c r="J92" s="90"/>
      <c r="K92" s="90"/>
      <c r="L92" s="90"/>
      <c r="M92" s="45"/>
      <c r="N92" s="45"/>
      <c r="O92" s="45"/>
      <c r="P92" s="45"/>
      <c r="Q92" s="45"/>
    </row>
    <row r="93" spans="1:17" ht="13.5" thickBot="1" x14ac:dyDescent="0.25">
      <c r="A93" s="45"/>
      <c r="B93" s="45"/>
      <c r="C93" s="45"/>
      <c r="D93" s="45"/>
      <c r="E93" s="89">
        <v>825</v>
      </c>
      <c r="F93" s="89">
        <v>866</v>
      </c>
      <c r="G93" s="57">
        <v>845</v>
      </c>
      <c r="H93" s="56">
        <v>866</v>
      </c>
      <c r="J93" s="90"/>
      <c r="K93" s="90"/>
      <c r="L93" s="90"/>
      <c r="M93" s="45"/>
      <c r="N93" s="45"/>
      <c r="O93" s="45"/>
      <c r="P93" s="45"/>
      <c r="Q93" s="45"/>
    </row>
    <row r="94" spans="1:17" ht="13.5" thickBot="1" x14ac:dyDescent="0.25">
      <c r="A94" s="45"/>
      <c r="B94" s="45"/>
      <c r="C94" s="45"/>
      <c r="D94" s="45"/>
      <c r="E94" s="89">
        <v>866</v>
      </c>
      <c r="F94" s="89">
        <v>909</v>
      </c>
      <c r="G94" s="56">
        <v>866</v>
      </c>
      <c r="H94" s="57">
        <v>887</v>
      </c>
      <c r="J94" s="90"/>
      <c r="K94" s="90"/>
      <c r="L94" s="90"/>
      <c r="M94" s="45"/>
      <c r="N94" s="45"/>
      <c r="O94" s="45"/>
      <c r="P94" s="45"/>
      <c r="Q94" s="45"/>
    </row>
    <row r="95" spans="1:17" ht="13.5" thickBot="1" x14ac:dyDescent="0.25">
      <c r="A95" s="45"/>
      <c r="B95" s="45"/>
      <c r="C95" s="45"/>
      <c r="D95" s="45"/>
      <c r="E95" s="89">
        <v>909</v>
      </c>
      <c r="F95" s="89">
        <v>953</v>
      </c>
      <c r="G95" s="57">
        <v>887</v>
      </c>
      <c r="H95" s="56">
        <v>909</v>
      </c>
      <c r="J95" s="90"/>
      <c r="K95" s="90"/>
      <c r="L95" s="90"/>
      <c r="M95" s="45"/>
      <c r="N95" s="45"/>
      <c r="O95" s="45"/>
      <c r="P95" s="45"/>
      <c r="Q95" s="45"/>
    </row>
    <row r="96" spans="1:17" ht="13.5" thickBot="1" x14ac:dyDescent="0.25">
      <c r="A96" s="45"/>
      <c r="B96" s="45"/>
      <c r="C96" s="45"/>
      <c r="D96" s="45"/>
      <c r="E96" s="89">
        <v>953</v>
      </c>
      <c r="F96" s="89">
        <v>1000</v>
      </c>
      <c r="G96" s="56">
        <v>909</v>
      </c>
      <c r="H96" s="57">
        <v>931</v>
      </c>
      <c r="J96" s="90"/>
      <c r="K96" s="90"/>
      <c r="L96" s="90"/>
      <c r="M96" s="45"/>
      <c r="N96" s="45"/>
      <c r="O96" s="45"/>
      <c r="P96" s="45"/>
      <c r="Q96" s="45"/>
    </row>
    <row r="97" spans="1:17" ht="13.5" thickBot="1" x14ac:dyDescent="0.25">
      <c r="A97" s="45"/>
      <c r="B97" s="45"/>
      <c r="C97" s="45"/>
      <c r="D97" s="45"/>
      <c r="G97" s="57">
        <v>931</v>
      </c>
      <c r="H97" s="56">
        <v>953</v>
      </c>
      <c r="J97" s="90"/>
      <c r="K97" s="90"/>
      <c r="L97" s="90"/>
      <c r="M97" s="45"/>
      <c r="N97" s="45"/>
      <c r="O97" s="45"/>
      <c r="P97" s="45"/>
      <c r="Q97" s="45"/>
    </row>
    <row r="98" spans="1:17" ht="13.5" thickBot="1" x14ac:dyDescent="0.25">
      <c r="A98" s="45"/>
      <c r="B98" s="45"/>
      <c r="C98" s="45"/>
      <c r="D98" s="45"/>
      <c r="E98" s="45"/>
      <c r="F98" s="45"/>
      <c r="G98" s="56">
        <v>953</v>
      </c>
      <c r="H98" s="57">
        <v>976</v>
      </c>
      <c r="J98" s="90"/>
      <c r="K98" s="90"/>
      <c r="L98" s="90"/>
      <c r="M98" s="45"/>
      <c r="N98" s="45"/>
      <c r="O98" s="45"/>
      <c r="P98" s="45"/>
      <c r="Q98" s="45"/>
    </row>
    <row r="99" spans="1:17" ht="13.5" thickBot="1" x14ac:dyDescent="0.25">
      <c r="A99" s="45"/>
      <c r="B99" s="45"/>
      <c r="C99" s="45"/>
      <c r="D99" s="45"/>
      <c r="E99" s="45"/>
      <c r="F99" s="45"/>
      <c r="G99" s="57">
        <v>976</v>
      </c>
      <c r="H99" s="57">
        <v>1000</v>
      </c>
      <c r="J99" s="90"/>
      <c r="K99" s="90"/>
      <c r="L99" s="90"/>
      <c r="M99" s="45"/>
      <c r="N99" s="45"/>
      <c r="O99" s="45"/>
      <c r="P99" s="45"/>
      <c r="Q99" s="45"/>
    </row>
    <row r="100" spans="1:17" x14ac:dyDescent="0.2">
      <c r="A100" s="45"/>
      <c r="B100" s="45"/>
      <c r="C100" s="45"/>
      <c r="D100" s="45"/>
      <c r="E100" s="45"/>
      <c r="F100" s="45"/>
      <c r="J100" s="90"/>
      <c r="K100" s="90"/>
      <c r="L100" s="90"/>
      <c r="M100" s="45"/>
      <c r="N100" s="45"/>
      <c r="O100" s="45"/>
      <c r="P100" s="45"/>
      <c r="Q100" s="45"/>
    </row>
    <row r="101" spans="1:17" x14ac:dyDescent="0.2">
      <c r="A101" s="45"/>
      <c r="B101" s="45"/>
      <c r="C101" s="45"/>
      <c r="D101" s="45"/>
      <c r="E101" s="45"/>
      <c r="F101" s="45"/>
      <c r="J101" s="90"/>
      <c r="K101" s="90"/>
      <c r="L101" s="90"/>
      <c r="M101" s="45"/>
      <c r="N101" s="45"/>
      <c r="O101" s="45"/>
      <c r="P101" s="45"/>
      <c r="Q101" s="45"/>
    </row>
    <row r="102" spans="1:17" x14ac:dyDescent="0.2">
      <c r="A102" s="45"/>
      <c r="B102" s="45"/>
      <c r="C102" s="45"/>
      <c r="D102" s="45"/>
      <c r="E102" s="45"/>
      <c r="F102" s="45"/>
      <c r="J102" s="90"/>
      <c r="K102" s="90"/>
      <c r="L102" s="90"/>
      <c r="M102" s="45"/>
      <c r="N102" s="45"/>
      <c r="O102" s="45"/>
      <c r="P102" s="45"/>
      <c r="Q102" s="45"/>
    </row>
    <row r="103" spans="1:17" x14ac:dyDescent="0.2">
      <c r="A103" s="45"/>
      <c r="B103" s="45"/>
      <c r="C103" s="45"/>
      <c r="D103" s="45"/>
      <c r="E103" s="45"/>
      <c r="F103" s="45"/>
      <c r="J103" s="90"/>
      <c r="K103" s="90"/>
      <c r="L103" s="90"/>
      <c r="M103" s="45"/>
      <c r="N103" s="45"/>
      <c r="O103" s="45"/>
      <c r="P103" s="45"/>
      <c r="Q103" s="45"/>
    </row>
    <row r="104" spans="1:17" x14ac:dyDescent="0.2">
      <c r="A104" s="45"/>
      <c r="B104" s="45"/>
      <c r="C104" s="45"/>
      <c r="D104" s="45"/>
      <c r="E104" s="45"/>
      <c r="F104" s="45"/>
      <c r="J104" s="90"/>
      <c r="K104" s="90"/>
      <c r="L104" s="90"/>
      <c r="M104" s="45"/>
      <c r="N104" s="45"/>
      <c r="O104" s="45"/>
      <c r="P104" s="45"/>
      <c r="Q104" s="45"/>
    </row>
    <row r="105" spans="1:17" x14ac:dyDescent="0.2">
      <c r="A105" s="45"/>
      <c r="B105" s="45"/>
      <c r="C105" s="45"/>
      <c r="D105" s="45"/>
      <c r="E105" s="45"/>
      <c r="F105" s="45"/>
      <c r="J105" s="90"/>
      <c r="K105" s="90"/>
      <c r="L105" s="90"/>
      <c r="M105" s="45"/>
      <c r="N105" s="45"/>
      <c r="O105" s="45"/>
      <c r="P105" s="45"/>
      <c r="Q105" s="45"/>
    </row>
    <row r="106" spans="1:17" x14ac:dyDescent="0.2">
      <c r="A106" s="45"/>
      <c r="B106" s="45"/>
      <c r="C106" s="45"/>
      <c r="D106" s="45"/>
      <c r="E106" s="45"/>
      <c r="F106" s="45"/>
      <c r="J106" s="90"/>
      <c r="K106" s="90"/>
      <c r="L106" s="90"/>
      <c r="M106" s="45"/>
      <c r="N106" s="45"/>
      <c r="O106" s="45"/>
      <c r="P106" s="45"/>
      <c r="Q106" s="45"/>
    </row>
    <row r="107" spans="1:17" x14ac:dyDescent="0.2">
      <c r="A107" s="45"/>
      <c r="B107" s="45"/>
      <c r="C107" s="45"/>
      <c r="D107" s="45"/>
      <c r="E107" s="45"/>
      <c r="F107" s="45"/>
      <c r="J107" s="90"/>
      <c r="K107" s="90"/>
      <c r="L107" s="90"/>
      <c r="M107" s="45"/>
      <c r="N107" s="45"/>
      <c r="O107" s="45"/>
      <c r="P107" s="45"/>
      <c r="Q107" s="45"/>
    </row>
    <row r="108" spans="1:17" x14ac:dyDescent="0.2">
      <c r="A108" s="45"/>
      <c r="B108" s="45"/>
      <c r="C108" s="45"/>
      <c r="D108" s="45"/>
      <c r="E108" s="45"/>
      <c r="F108" s="45"/>
      <c r="J108" s="90"/>
      <c r="K108" s="90"/>
      <c r="L108" s="90"/>
      <c r="M108" s="45"/>
      <c r="N108" s="45"/>
      <c r="O108" s="45"/>
      <c r="P108" s="45"/>
      <c r="Q108" s="45"/>
    </row>
    <row r="109" spans="1:17" x14ac:dyDescent="0.2">
      <c r="A109" s="45"/>
      <c r="B109" s="45"/>
      <c r="C109" s="45"/>
      <c r="D109" s="45"/>
      <c r="E109" s="45"/>
      <c r="F109" s="45"/>
      <c r="J109" s="90"/>
      <c r="K109" s="90"/>
      <c r="L109" s="90"/>
      <c r="M109" s="45"/>
      <c r="N109" s="45"/>
      <c r="O109" s="45"/>
      <c r="P109" s="45"/>
      <c r="Q109" s="45"/>
    </row>
    <row r="110" spans="1:17" x14ac:dyDescent="0.2">
      <c r="A110" s="45"/>
      <c r="B110" s="45"/>
      <c r="C110" s="45"/>
      <c r="D110" s="45"/>
      <c r="E110" s="45"/>
      <c r="F110" s="45"/>
      <c r="J110" s="90"/>
      <c r="K110" s="90"/>
      <c r="L110" s="90"/>
      <c r="M110" s="45"/>
      <c r="N110" s="45"/>
      <c r="O110" s="45"/>
      <c r="P110" s="45"/>
      <c r="Q110" s="45"/>
    </row>
    <row r="111" spans="1:17" x14ac:dyDescent="0.2">
      <c r="A111" s="45"/>
      <c r="B111" s="45"/>
      <c r="C111" s="45"/>
      <c r="D111" s="45"/>
      <c r="E111" s="45"/>
      <c r="F111" s="45"/>
      <c r="J111" s="90"/>
      <c r="K111" s="90"/>
      <c r="L111" s="90"/>
      <c r="M111" s="45"/>
      <c r="N111" s="45"/>
      <c r="O111" s="45"/>
      <c r="P111" s="45"/>
      <c r="Q111" s="45"/>
    </row>
    <row r="112" spans="1:17" x14ac:dyDescent="0.2">
      <c r="A112" s="45"/>
      <c r="B112" s="45"/>
      <c r="C112" s="45"/>
      <c r="D112" s="45"/>
      <c r="E112" s="45"/>
      <c r="F112" s="45"/>
      <c r="J112" s="90"/>
      <c r="K112" s="90"/>
      <c r="L112" s="90"/>
      <c r="M112" s="45"/>
      <c r="N112" s="45"/>
      <c r="O112" s="45"/>
      <c r="P112" s="45"/>
      <c r="Q112" s="45"/>
    </row>
    <row r="113" spans="1:17" x14ac:dyDescent="0.2">
      <c r="A113" s="45"/>
      <c r="B113" s="45"/>
      <c r="C113" s="45"/>
      <c r="D113" s="45"/>
      <c r="E113" s="45"/>
      <c r="F113" s="45"/>
      <c r="J113" s="90"/>
      <c r="K113" s="90"/>
      <c r="L113" s="90"/>
      <c r="M113" s="45"/>
      <c r="N113" s="45"/>
      <c r="O113" s="45"/>
      <c r="P113" s="45"/>
      <c r="Q113" s="45"/>
    </row>
    <row r="114" spans="1:17" x14ac:dyDescent="0.2">
      <c r="A114" s="45"/>
      <c r="B114" s="45"/>
      <c r="C114" s="45"/>
      <c r="D114" s="45"/>
      <c r="E114" s="45"/>
      <c r="F114" s="45"/>
      <c r="G114" s="45"/>
      <c r="H114" s="45"/>
      <c r="I114" s="45"/>
      <c r="J114" s="90"/>
      <c r="K114" s="90"/>
      <c r="L114" s="90"/>
      <c r="M114" s="45"/>
      <c r="N114" s="45"/>
      <c r="O114" s="45"/>
      <c r="P114" s="45"/>
      <c r="Q114" s="45"/>
    </row>
    <row r="115" spans="1:17" x14ac:dyDescent="0.2">
      <c r="A115" s="45"/>
      <c r="B115" s="45"/>
      <c r="C115" s="45"/>
      <c r="D115" s="45"/>
      <c r="E115" s="45"/>
      <c r="F115" s="45"/>
      <c r="G115" s="45"/>
      <c r="H115" s="45"/>
      <c r="I115" s="45"/>
      <c r="J115" s="90"/>
      <c r="K115" s="90"/>
      <c r="L115" s="90"/>
      <c r="M115" s="45"/>
      <c r="N115" s="45"/>
      <c r="O115" s="45"/>
      <c r="P115" s="45"/>
      <c r="Q115" s="45"/>
    </row>
    <row r="116" spans="1:17" x14ac:dyDescent="0.2">
      <c r="A116" s="45"/>
      <c r="B116" s="45"/>
      <c r="C116" s="45"/>
      <c r="D116" s="45"/>
      <c r="E116" s="45"/>
      <c r="F116" s="45"/>
      <c r="G116" s="45"/>
      <c r="H116" s="45"/>
      <c r="I116" s="45"/>
      <c r="J116" s="90"/>
      <c r="K116" s="90"/>
      <c r="L116" s="90"/>
      <c r="M116" s="45"/>
      <c r="N116" s="45"/>
      <c r="O116" s="45"/>
      <c r="P116" s="45"/>
      <c r="Q116" s="45"/>
    </row>
    <row r="117" spans="1:17" x14ac:dyDescent="0.2">
      <c r="A117" s="45"/>
      <c r="B117" s="45"/>
      <c r="C117" s="45"/>
      <c r="D117" s="45"/>
      <c r="E117" s="45"/>
      <c r="F117" s="45"/>
      <c r="G117" s="45"/>
      <c r="H117" s="45"/>
      <c r="I117" s="45"/>
      <c r="J117" s="90"/>
      <c r="K117" s="90"/>
      <c r="L117" s="90"/>
      <c r="M117" s="45"/>
      <c r="N117" s="45"/>
      <c r="O117" s="45"/>
      <c r="P117" s="45"/>
      <c r="Q117" s="45"/>
    </row>
    <row r="118" spans="1:17" x14ac:dyDescent="0.2">
      <c r="A118" s="45"/>
      <c r="B118" s="45"/>
      <c r="C118" s="45"/>
      <c r="D118" s="45"/>
      <c r="E118" s="45"/>
      <c r="F118" s="45"/>
      <c r="G118" s="45"/>
      <c r="H118" s="45"/>
      <c r="I118" s="45"/>
      <c r="J118" s="90"/>
      <c r="K118" s="90"/>
      <c r="L118" s="90"/>
      <c r="M118" s="45"/>
      <c r="N118" s="45"/>
      <c r="O118" s="45"/>
      <c r="P118" s="45"/>
      <c r="Q118" s="45"/>
    </row>
    <row r="119" spans="1:17" x14ac:dyDescent="0.2">
      <c r="A119" s="45"/>
      <c r="B119" s="45"/>
      <c r="C119" s="45"/>
      <c r="D119" s="45"/>
      <c r="E119" s="45"/>
      <c r="F119" s="45"/>
      <c r="G119" s="45"/>
      <c r="H119" s="45"/>
      <c r="I119" s="45"/>
      <c r="J119" s="90"/>
      <c r="K119" s="90"/>
      <c r="L119" s="90"/>
      <c r="M119" s="45"/>
      <c r="N119" s="45"/>
      <c r="O119" s="45"/>
      <c r="P119" s="45"/>
      <c r="Q119" s="45"/>
    </row>
    <row r="120" spans="1:17" x14ac:dyDescent="0.2">
      <c r="A120" s="45"/>
      <c r="B120" s="45"/>
      <c r="C120" s="45"/>
      <c r="D120" s="45"/>
      <c r="E120" s="45"/>
      <c r="F120" s="45"/>
      <c r="G120" s="45"/>
      <c r="H120" s="45"/>
      <c r="I120" s="45"/>
      <c r="J120" s="90"/>
      <c r="K120" s="90"/>
      <c r="L120" s="90"/>
      <c r="M120" s="45"/>
      <c r="N120" s="45"/>
      <c r="O120" s="45"/>
      <c r="P120" s="45"/>
      <c r="Q120" s="45"/>
    </row>
    <row r="121" spans="1:17" x14ac:dyDescent="0.2">
      <c r="A121" s="45"/>
      <c r="B121" s="45"/>
      <c r="C121" s="45"/>
      <c r="D121" s="45"/>
      <c r="E121" s="45"/>
      <c r="F121" s="45"/>
      <c r="G121" s="45"/>
      <c r="H121" s="45"/>
      <c r="I121" s="45"/>
      <c r="J121" s="90"/>
      <c r="K121" s="90"/>
      <c r="L121" s="90"/>
      <c r="M121" s="45"/>
      <c r="N121" s="45"/>
      <c r="O121" s="45"/>
      <c r="P121" s="45"/>
      <c r="Q121" s="45"/>
    </row>
    <row r="122" spans="1:17" x14ac:dyDescent="0.2">
      <c r="A122" s="45"/>
      <c r="B122" s="45"/>
      <c r="C122" s="45"/>
      <c r="D122" s="45"/>
      <c r="E122" s="45"/>
      <c r="F122" s="45"/>
      <c r="G122" s="45"/>
      <c r="H122" s="45"/>
      <c r="I122" s="45"/>
      <c r="J122" s="90"/>
      <c r="K122" s="90"/>
      <c r="L122" s="90"/>
      <c r="M122" s="45"/>
      <c r="N122" s="45"/>
      <c r="O122" s="45"/>
      <c r="P122" s="45"/>
      <c r="Q122" s="45"/>
    </row>
    <row r="123" spans="1:17" x14ac:dyDescent="0.2">
      <c r="A123" s="45"/>
      <c r="B123" s="45"/>
      <c r="C123" s="45"/>
      <c r="D123" s="45"/>
      <c r="E123" s="45"/>
      <c r="F123" s="45"/>
      <c r="G123" s="45"/>
      <c r="H123" s="45"/>
      <c r="I123" s="45"/>
      <c r="J123" s="90"/>
      <c r="K123" s="90"/>
      <c r="L123" s="90"/>
      <c r="M123" s="45"/>
      <c r="N123" s="45"/>
      <c r="O123" s="45"/>
      <c r="P123" s="45"/>
      <c r="Q123" s="45"/>
    </row>
    <row r="124" spans="1:17" x14ac:dyDescent="0.2">
      <c r="A124" s="45"/>
      <c r="B124" s="45"/>
      <c r="C124" s="45"/>
      <c r="D124" s="45"/>
      <c r="E124" s="45"/>
      <c r="F124" s="45"/>
      <c r="G124" s="45"/>
      <c r="H124" s="45"/>
      <c r="I124" s="45"/>
      <c r="J124" s="90"/>
      <c r="K124" s="90"/>
      <c r="L124" s="90"/>
      <c r="M124" s="45"/>
      <c r="N124" s="45"/>
      <c r="O124" s="45"/>
      <c r="P124" s="45"/>
      <c r="Q124" s="45"/>
    </row>
    <row r="125" spans="1:17" x14ac:dyDescent="0.2">
      <c r="A125" s="45"/>
      <c r="B125" s="45"/>
      <c r="C125" s="45"/>
      <c r="D125" s="45"/>
      <c r="E125" s="45"/>
      <c r="F125" s="45"/>
      <c r="G125" s="45"/>
      <c r="H125" s="45"/>
      <c r="I125" s="45"/>
      <c r="J125" s="90"/>
      <c r="K125" s="90"/>
      <c r="L125" s="90"/>
      <c r="M125" s="45"/>
      <c r="N125" s="45"/>
      <c r="O125" s="45"/>
      <c r="P125" s="45"/>
      <c r="Q125" s="45"/>
    </row>
    <row r="126" spans="1:17" x14ac:dyDescent="0.2">
      <c r="A126" s="45"/>
      <c r="B126" s="45"/>
      <c r="C126" s="45"/>
      <c r="D126" s="45"/>
      <c r="E126" s="45"/>
      <c r="F126" s="45"/>
      <c r="G126" s="45"/>
      <c r="H126" s="45"/>
      <c r="I126" s="45"/>
      <c r="J126" s="90"/>
      <c r="K126" s="90"/>
      <c r="L126" s="90"/>
      <c r="M126" s="45"/>
      <c r="N126" s="45"/>
      <c r="O126" s="45"/>
      <c r="P126" s="45"/>
      <c r="Q126" s="45"/>
    </row>
    <row r="127" spans="1:17" x14ac:dyDescent="0.2">
      <c r="A127" s="45"/>
      <c r="B127" s="45"/>
      <c r="C127" s="45"/>
      <c r="D127" s="45"/>
      <c r="E127" s="45"/>
      <c r="F127" s="45"/>
      <c r="G127" s="45"/>
      <c r="H127" s="45"/>
      <c r="I127" s="45"/>
      <c r="J127" s="90"/>
      <c r="K127" s="90"/>
      <c r="L127" s="90"/>
      <c r="M127" s="45"/>
      <c r="N127" s="45"/>
      <c r="O127" s="45"/>
      <c r="P127" s="45"/>
      <c r="Q127" s="45"/>
    </row>
    <row r="128" spans="1:17" x14ac:dyDescent="0.2">
      <c r="A128" s="45"/>
      <c r="B128" s="45"/>
      <c r="C128" s="45"/>
      <c r="D128" s="45"/>
      <c r="E128" s="45"/>
      <c r="F128" s="45"/>
      <c r="G128" s="45"/>
      <c r="H128" s="45"/>
      <c r="I128" s="45"/>
      <c r="J128" s="90"/>
      <c r="K128" s="90"/>
      <c r="L128" s="90"/>
      <c r="M128" s="45"/>
      <c r="N128" s="45"/>
      <c r="O128" s="45"/>
      <c r="P128" s="45"/>
      <c r="Q128" s="45"/>
    </row>
    <row r="129" spans="1:17" x14ac:dyDescent="0.2">
      <c r="A129" s="45"/>
      <c r="B129" s="45"/>
      <c r="C129" s="45"/>
      <c r="D129" s="45"/>
      <c r="E129" s="45"/>
      <c r="F129" s="45"/>
      <c r="G129" s="45"/>
      <c r="H129" s="45"/>
      <c r="I129" s="45"/>
      <c r="J129" s="90"/>
      <c r="K129" s="90"/>
      <c r="L129" s="90"/>
      <c r="M129" s="45"/>
      <c r="N129" s="45"/>
      <c r="O129" s="45"/>
      <c r="P129" s="45"/>
      <c r="Q129" s="45"/>
    </row>
    <row r="130" spans="1:17" x14ac:dyDescent="0.2">
      <c r="A130" s="45"/>
      <c r="B130" s="45"/>
      <c r="C130" s="45"/>
      <c r="D130" s="45"/>
      <c r="E130" s="45"/>
      <c r="F130" s="45"/>
      <c r="G130" s="45"/>
      <c r="H130" s="45"/>
      <c r="I130" s="45"/>
      <c r="J130" s="90"/>
      <c r="K130" s="90"/>
      <c r="L130" s="90"/>
      <c r="M130" s="45"/>
      <c r="N130" s="45"/>
      <c r="O130" s="45"/>
      <c r="P130" s="45"/>
      <c r="Q130" s="45"/>
    </row>
    <row r="131" spans="1:17" x14ac:dyDescent="0.2">
      <c r="A131" s="45"/>
      <c r="B131" s="45"/>
      <c r="C131" s="45"/>
      <c r="D131" s="45"/>
      <c r="E131" s="45"/>
      <c r="F131" s="45"/>
      <c r="G131" s="45"/>
      <c r="H131" s="45"/>
      <c r="I131" s="45"/>
      <c r="J131" s="90"/>
      <c r="K131" s="90"/>
      <c r="L131" s="90"/>
      <c r="M131" s="45"/>
      <c r="N131" s="45"/>
      <c r="O131" s="45"/>
      <c r="P131" s="45"/>
      <c r="Q131" s="45"/>
    </row>
    <row r="132" spans="1:17" x14ac:dyDescent="0.2">
      <c r="A132" s="45"/>
      <c r="B132" s="45"/>
      <c r="C132" s="45"/>
      <c r="D132" s="45"/>
      <c r="E132" s="45"/>
      <c r="F132" s="45"/>
      <c r="G132" s="45"/>
      <c r="H132" s="45"/>
      <c r="I132" s="45"/>
      <c r="J132" s="90"/>
      <c r="K132" s="90"/>
      <c r="L132" s="90"/>
      <c r="M132" s="45"/>
      <c r="N132" s="45"/>
      <c r="O132" s="45"/>
      <c r="P132" s="45"/>
      <c r="Q132" s="45"/>
    </row>
    <row r="133" spans="1:17" x14ac:dyDescent="0.2">
      <c r="A133" s="45"/>
      <c r="B133" s="45"/>
      <c r="C133" s="45"/>
      <c r="D133" s="45"/>
      <c r="E133" s="45"/>
      <c r="F133" s="45"/>
      <c r="G133" s="45"/>
      <c r="H133" s="45"/>
      <c r="I133" s="45"/>
      <c r="J133" s="90"/>
      <c r="K133" s="90"/>
      <c r="L133" s="90"/>
      <c r="M133" s="45"/>
      <c r="N133" s="45"/>
      <c r="O133" s="45"/>
      <c r="P133" s="45"/>
      <c r="Q133" s="45"/>
    </row>
    <row r="134" spans="1:17" x14ac:dyDescent="0.2">
      <c r="A134" s="45"/>
      <c r="B134" s="45"/>
      <c r="C134" s="45"/>
      <c r="D134" s="45"/>
      <c r="E134" s="45"/>
      <c r="F134" s="45"/>
      <c r="G134" s="45"/>
      <c r="H134" s="45"/>
      <c r="I134" s="45"/>
      <c r="J134" s="90"/>
      <c r="K134" s="90"/>
      <c r="L134" s="90"/>
      <c r="M134" s="45"/>
      <c r="N134" s="45"/>
      <c r="O134" s="45"/>
      <c r="P134" s="45"/>
      <c r="Q134" s="45"/>
    </row>
    <row r="135" spans="1:17" x14ac:dyDescent="0.2">
      <c r="A135" s="45"/>
      <c r="B135" s="45"/>
      <c r="C135" s="45"/>
      <c r="D135" s="45"/>
      <c r="E135" s="45"/>
      <c r="F135" s="45"/>
      <c r="G135" s="45"/>
      <c r="H135" s="45"/>
      <c r="I135" s="45"/>
      <c r="J135" s="90"/>
      <c r="K135" s="90"/>
      <c r="L135" s="90"/>
      <c r="M135" s="45"/>
      <c r="N135" s="45"/>
      <c r="O135" s="45"/>
      <c r="P135" s="45"/>
      <c r="Q135" s="45"/>
    </row>
    <row r="136" spans="1:17" x14ac:dyDescent="0.2">
      <c r="A136" s="45"/>
      <c r="B136" s="45"/>
      <c r="C136" s="45"/>
      <c r="D136" s="45"/>
      <c r="E136" s="45"/>
      <c r="F136" s="45"/>
      <c r="G136" s="45"/>
      <c r="H136" s="45"/>
      <c r="I136" s="45"/>
      <c r="J136" s="90"/>
      <c r="K136" s="90"/>
      <c r="L136" s="90"/>
      <c r="M136" s="45"/>
      <c r="N136" s="45"/>
      <c r="O136" s="45"/>
      <c r="P136" s="45"/>
      <c r="Q136" s="45"/>
    </row>
    <row r="137" spans="1:17" x14ac:dyDescent="0.2">
      <c r="A137" s="45"/>
      <c r="B137" s="45"/>
      <c r="C137" s="45"/>
      <c r="D137" s="45"/>
      <c r="E137" s="45"/>
      <c r="F137" s="45"/>
      <c r="G137" s="45"/>
      <c r="H137" s="45"/>
      <c r="I137" s="45"/>
      <c r="J137" s="90"/>
      <c r="K137" s="90"/>
      <c r="L137" s="90"/>
      <c r="M137" s="45"/>
      <c r="N137" s="45"/>
      <c r="O137" s="45"/>
      <c r="P137" s="45"/>
      <c r="Q137" s="45"/>
    </row>
    <row r="138" spans="1:17" x14ac:dyDescent="0.2">
      <c r="A138" s="45"/>
      <c r="B138" s="45"/>
      <c r="C138" s="45"/>
      <c r="D138" s="45"/>
      <c r="E138" s="45"/>
      <c r="F138" s="45"/>
      <c r="G138" s="45"/>
      <c r="H138" s="45"/>
      <c r="I138" s="45"/>
      <c r="J138" s="90"/>
      <c r="K138" s="90"/>
      <c r="L138" s="90"/>
      <c r="M138" s="45"/>
      <c r="N138" s="45"/>
      <c r="O138" s="45"/>
      <c r="P138" s="45"/>
      <c r="Q138" s="45"/>
    </row>
    <row r="139" spans="1:17" x14ac:dyDescent="0.2">
      <c r="A139" s="45"/>
      <c r="B139" s="45"/>
      <c r="C139" s="45"/>
      <c r="D139" s="45"/>
      <c r="E139" s="45"/>
      <c r="F139" s="45"/>
      <c r="G139" s="45"/>
      <c r="H139" s="45"/>
      <c r="I139" s="45"/>
      <c r="J139" s="90"/>
      <c r="K139" s="90"/>
      <c r="L139" s="90"/>
      <c r="M139" s="45"/>
      <c r="N139" s="45"/>
      <c r="O139" s="45"/>
      <c r="P139" s="45"/>
      <c r="Q139" s="45"/>
    </row>
    <row r="140" spans="1:17" x14ac:dyDescent="0.2">
      <c r="A140" s="45"/>
      <c r="B140" s="45"/>
      <c r="C140" s="45"/>
      <c r="D140" s="45"/>
      <c r="E140" s="45"/>
      <c r="F140" s="45"/>
      <c r="G140" s="45"/>
      <c r="H140" s="45"/>
      <c r="I140" s="45"/>
      <c r="J140" s="90"/>
      <c r="K140" s="90"/>
      <c r="L140" s="90"/>
      <c r="M140" s="45"/>
      <c r="N140" s="45"/>
      <c r="O140" s="45"/>
      <c r="P140" s="45"/>
      <c r="Q140" s="45"/>
    </row>
    <row r="141" spans="1:17" x14ac:dyDescent="0.2">
      <c r="A141" s="45"/>
      <c r="B141" s="45"/>
      <c r="C141" s="45"/>
      <c r="D141" s="45"/>
      <c r="E141" s="45"/>
      <c r="F141" s="45"/>
      <c r="G141" s="45"/>
      <c r="H141" s="45"/>
      <c r="I141" s="45"/>
      <c r="J141" s="90"/>
      <c r="K141" s="90"/>
      <c r="L141" s="90"/>
      <c r="M141" s="45"/>
      <c r="N141" s="45"/>
      <c r="O141" s="45"/>
      <c r="P141" s="45"/>
      <c r="Q141" s="45"/>
    </row>
    <row r="142" spans="1:17" x14ac:dyDescent="0.2">
      <c r="A142" s="45"/>
      <c r="B142" s="45"/>
      <c r="C142" s="45"/>
      <c r="D142" s="45"/>
      <c r="E142" s="45"/>
      <c r="F142" s="45"/>
      <c r="G142" s="45"/>
      <c r="H142" s="45"/>
      <c r="I142" s="45"/>
      <c r="J142" s="90"/>
      <c r="K142" s="90"/>
      <c r="L142" s="90"/>
      <c r="M142" s="45"/>
      <c r="N142" s="45"/>
      <c r="O142" s="45"/>
      <c r="P142" s="45"/>
      <c r="Q142" s="45"/>
    </row>
    <row r="143" spans="1:17" x14ac:dyDescent="0.2">
      <c r="A143" s="45"/>
      <c r="B143" s="45"/>
      <c r="C143" s="45"/>
      <c r="D143" s="45"/>
      <c r="E143" s="45"/>
      <c r="F143" s="45"/>
      <c r="G143" s="45"/>
      <c r="H143" s="45"/>
      <c r="I143" s="45"/>
      <c r="J143" s="90"/>
      <c r="K143" s="90"/>
      <c r="L143" s="90"/>
      <c r="M143" s="45"/>
      <c r="N143" s="45"/>
      <c r="O143" s="45"/>
      <c r="P143" s="45"/>
      <c r="Q143" s="45"/>
    </row>
    <row r="144" spans="1:17" x14ac:dyDescent="0.2">
      <c r="A144" s="45"/>
      <c r="B144" s="45"/>
      <c r="C144" s="45"/>
      <c r="D144" s="45"/>
      <c r="E144" s="45"/>
      <c r="F144" s="45"/>
      <c r="G144" s="45"/>
      <c r="H144" s="45"/>
      <c r="I144" s="45"/>
      <c r="J144" s="90"/>
      <c r="K144" s="90"/>
      <c r="L144" s="90"/>
      <c r="M144" s="45"/>
      <c r="N144" s="45"/>
      <c r="O144" s="45"/>
      <c r="P144" s="45"/>
      <c r="Q144" s="45"/>
    </row>
    <row r="145" spans="1:17" x14ac:dyDescent="0.2">
      <c r="A145" s="45"/>
      <c r="B145" s="45"/>
      <c r="C145" s="45"/>
      <c r="D145" s="45"/>
      <c r="E145" s="45"/>
      <c r="F145" s="45"/>
      <c r="G145" s="45"/>
      <c r="H145" s="45"/>
      <c r="I145" s="45"/>
      <c r="J145" s="90"/>
      <c r="K145" s="90"/>
      <c r="L145" s="90"/>
      <c r="M145" s="45"/>
      <c r="N145" s="45"/>
      <c r="O145" s="45"/>
      <c r="P145" s="45"/>
      <c r="Q145" s="45"/>
    </row>
    <row r="146" spans="1:17" x14ac:dyDescent="0.2">
      <c r="A146" s="45"/>
      <c r="B146" s="45"/>
      <c r="C146" s="45"/>
      <c r="D146" s="45"/>
      <c r="E146" s="45"/>
      <c r="F146" s="45"/>
      <c r="G146" s="45"/>
      <c r="H146" s="45"/>
      <c r="I146" s="45"/>
      <c r="J146" s="90"/>
      <c r="K146" s="90"/>
      <c r="L146" s="90"/>
      <c r="M146" s="45"/>
      <c r="N146" s="45"/>
      <c r="O146" s="45"/>
      <c r="P146" s="45"/>
      <c r="Q146" s="45"/>
    </row>
  </sheetData>
  <sheetProtection selectLockedCells="1"/>
  <mergeCells count="5">
    <mergeCell ref="E3:F3"/>
    <mergeCell ref="G3:H3"/>
    <mergeCell ref="E10:F10"/>
    <mergeCell ref="E23:F23"/>
    <mergeCell ref="E48:F48"/>
  </mergeCells>
  <pageMargins left="0.49" right="0.42" top="1" bottom="1" header="0.5" footer="0.5"/>
  <pageSetup scale="8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A14" sqref="A14"/>
    </sheetView>
  </sheetViews>
  <sheetFormatPr defaultRowHeight="12.75" x14ac:dyDescent="0.2"/>
  <sheetData>
    <row r="1" spans="1:2" x14ac:dyDescent="0.2">
      <c r="A1" t="s">
        <v>333</v>
      </c>
      <c r="B1" t="s">
        <v>334</v>
      </c>
    </row>
    <row r="2" spans="1:2" x14ac:dyDescent="0.2">
      <c r="A2" t="s">
        <v>338</v>
      </c>
      <c r="B2" t="s">
        <v>339</v>
      </c>
    </row>
    <row r="3" spans="1:2" x14ac:dyDescent="0.2">
      <c r="A3" t="s">
        <v>341</v>
      </c>
      <c r="B3" t="s">
        <v>345</v>
      </c>
    </row>
    <row r="4" spans="1:2" x14ac:dyDescent="0.2">
      <c r="A4" t="s">
        <v>343</v>
      </c>
      <c r="B4" t="s">
        <v>344</v>
      </c>
    </row>
    <row r="5" spans="1:2" x14ac:dyDescent="0.2">
      <c r="A5" t="s">
        <v>346</v>
      </c>
      <c r="B5" t="s">
        <v>347</v>
      </c>
    </row>
    <row r="6" spans="1:2" x14ac:dyDescent="0.2">
      <c r="A6" t="s">
        <v>349</v>
      </c>
      <c r="B6" t="s">
        <v>350</v>
      </c>
    </row>
    <row r="7" spans="1:2" x14ac:dyDescent="0.2">
      <c r="A7" s="103" t="s">
        <v>353</v>
      </c>
      <c r="B7" s="103" t="s">
        <v>354</v>
      </c>
    </row>
    <row r="8" spans="1:2" x14ac:dyDescent="0.2">
      <c r="A8" s="103" t="s">
        <v>355</v>
      </c>
      <c r="B8" s="103" t="s">
        <v>356</v>
      </c>
    </row>
    <row r="9" spans="1:2" x14ac:dyDescent="0.2">
      <c r="A9" s="103" t="s">
        <v>359</v>
      </c>
      <c r="B9" s="103" t="s">
        <v>360</v>
      </c>
    </row>
    <row r="10" spans="1:2" x14ac:dyDescent="0.2">
      <c r="A10" s="103" t="s">
        <v>361</v>
      </c>
      <c r="B10" s="103" t="s">
        <v>362</v>
      </c>
    </row>
    <row r="11" spans="1:2" x14ac:dyDescent="0.2">
      <c r="A11" s="103" t="s">
        <v>364</v>
      </c>
      <c r="B11" s="103" t="s">
        <v>365</v>
      </c>
    </row>
    <row r="12" spans="1:2" x14ac:dyDescent="0.2">
      <c r="A12" s="103" t="s">
        <v>370</v>
      </c>
      <c r="B12" s="103" t="s">
        <v>371</v>
      </c>
    </row>
    <row r="13" spans="1:2" x14ac:dyDescent="0.2">
      <c r="A13" s="103" t="s">
        <v>373</v>
      </c>
      <c r="B13" s="103" t="s">
        <v>374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FA8652-E980-4404-844F-01EC7EE0C96B}">
  <ds:schemaRefs>
    <ds:schemaRef ds:uri="http://schemas.microsoft.com/sharepoint/v3/contenttype/forms"/>
  </ds:schemaRefs>
</ds:datastoreItem>
</file>

<file path=customXml/itemProps2.xml><?xml version="1.0" encoding="utf-8"?>
<ds:datastoreItem xmlns:ds="http://schemas.openxmlformats.org/officeDocument/2006/customXml" ds:itemID="{C50DAC74-7876-4315-A814-4ED974EF3A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1DF5CC7-8487-4F82-8798-80772FB97B82}">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78</vt:i4>
      </vt:variant>
    </vt:vector>
  </HeadingPairs>
  <TitlesOfParts>
    <vt:vector size="85" baseType="lpstr">
      <vt:lpstr>Intro</vt:lpstr>
      <vt:lpstr>Design Equations CCM</vt:lpstr>
      <vt:lpstr>Small Signal</vt:lpstr>
      <vt:lpstr>Output Voltage Accuracy</vt:lpstr>
      <vt:lpstr>partdata</vt:lpstr>
      <vt:lpstr>Std. R and C Values</vt:lpstr>
      <vt:lpstr>Revision Notes</vt:lpstr>
      <vt:lpstr>C_f1</vt:lpstr>
      <vt:lpstr>C_f2</vt:lpstr>
      <vt:lpstr>c_s1</vt:lpstr>
      <vt:lpstr>C_s2</vt:lpstr>
      <vt:lpstr>Cc_ss</vt:lpstr>
      <vt:lpstr>Ce</vt:lpstr>
      <vt:lpstr>Cff_ss</vt:lpstr>
      <vt:lpstr>Co_derating</vt:lpstr>
      <vt:lpstr>Co_selected</vt:lpstr>
      <vt:lpstr>Co_ss</vt:lpstr>
      <vt:lpstr>Co2_ss</vt:lpstr>
      <vt:lpstr>Cp_ss</vt:lpstr>
      <vt:lpstr>dI</vt:lpstr>
      <vt:lpstr>dV</vt:lpstr>
      <vt:lpstr>dV_percent</vt:lpstr>
      <vt:lpstr>E12_f</vt:lpstr>
      <vt:lpstr>E12_s</vt:lpstr>
      <vt:lpstr>E24_f</vt:lpstr>
      <vt:lpstr>E24_s</vt:lpstr>
      <vt:lpstr>E48_f</vt:lpstr>
      <vt:lpstr>E48_s</vt:lpstr>
      <vt:lpstr>E6_f</vt:lpstr>
      <vt:lpstr>E6_s</vt:lpstr>
      <vt:lpstr>E96_f</vt:lpstr>
      <vt:lpstr>E96_s</vt:lpstr>
      <vt:lpstr>ESR</vt:lpstr>
      <vt:lpstr>ESR_2</vt:lpstr>
      <vt:lpstr>ESR_ss</vt:lpstr>
      <vt:lpstr>ESR2_ss</vt:lpstr>
      <vt:lpstr>FCCM</vt:lpstr>
      <vt:lpstr>fm</vt:lpstr>
      <vt:lpstr>fp_cff</vt:lpstr>
      <vt:lpstr>fsw_ss</vt:lpstr>
      <vt:lpstr>fz_cff</vt:lpstr>
      <vt:lpstr>gmps</vt:lpstr>
      <vt:lpstr>Ilim</vt:lpstr>
      <vt:lpstr>Ilim_rev</vt:lpstr>
      <vt:lpstr>Io_dev</vt:lpstr>
      <vt:lpstr>Io_ss</vt:lpstr>
      <vt:lpstr>Iout</vt:lpstr>
      <vt:lpstr>Iout_min</vt:lpstr>
      <vt:lpstr>Iripple</vt:lpstr>
      <vt:lpstr>k_2</vt:lpstr>
      <vt:lpstr>Kind</vt:lpstr>
      <vt:lpstr>Lo_ss</vt:lpstr>
      <vt:lpstr>mc</vt:lpstr>
      <vt:lpstr>'Std. R and C Values'!Print_Area</vt:lpstr>
      <vt:lpstr>q_2</vt:lpstr>
      <vt:lpstr>q_2_vimax</vt:lpstr>
      <vt:lpstr>Rc_ss</vt:lpstr>
      <vt:lpstr>Rdc_ss</vt:lpstr>
      <vt:lpstr>Re</vt:lpstr>
      <vt:lpstr>Re_vimax</vt:lpstr>
      <vt:lpstr>Rhs_ss</vt:lpstr>
      <vt:lpstr>Ri</vt:lpstr>
      <vt:lpstr>Rls_ss</vt:lpstr>
      <vt:lpstr>Ro</vt:lpstr>
      <vt:lpstr>Se</vt:lpstr>
      <vt:lpstr>Se_ss</vt:lpstr>
      <vt:lpstr>Sf</vt:lpstr>
      <vt:lpstr>Sn</vt:lpstr>
      <vt:lpstr>sn_vimax</vt:lpstr>
      <vt:lpstr>Vena_start</vt:lpstr>
      <vt:lpstr>Vena_stop</vt:lpstr>
      <vt:lpstr>Vi_ss</vt:lpstr>
      <vt:lpstr>Vin_max</vt:lpstr>
      <vt:lpstr>Vin_min</vt:lpstr>
      <vt:lpstr>Vin_nom</vt:lpstr>
      <vt:lpstr>Vmax_dev</vt:lpstr>
      <vt:lpstr>Vmin_dev</vt:lpstr>
      <vt:lpstr>Vo_ss</vt:lpstr>
      <vt:lpstr>Vout</vt:lpstr>
      <vt:lpstr>Vref</vt:lpstr>
      <vt:lpstr>Vripple</vt:lpstr>
      <vt:lpstr>Vstart</vt:lpstr>
      <vt:lpstr>Vstop</vt:lpstr>
      <vt:lpstr>w_2</vt:lpstr>
      <vt:lpstr>wp</vt:lpstr>
    </vt:vector>
  </TitlesOfParts>
  <Company>Texas Instruments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a0192789</dc:creator>
  <cp:lastModifiedBy>Anthony Fagnani</cp:lastModifiedBy>
  <cp:lastPrinted>2009-05-21T20:23:27Z</cp:lastPrinted>
  <dcterms:created xsi:type="dcterms:W3CDTF">2009-03-26T20:28:21Z</dcterms:created>
  <dcterms:modified xsi:type="dcterms:W3CDTF">2019-12-13T21:36:14Z</dcterms:modified>
</cp:coreProperties>
</file>