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17941\Documents\Design\CatFish\Tools\"/>
    </mc:Choice>
  </mc:AlternateContent>
  <xr:revisionPtr revIDLastSave="0" documentId="13_ncr:1_{65C99BDC-1CE7-4CD9-89FF-D82830239FBF}" xr6:coauthVersionLast="36" xr6:coauthVersionMax="36" xr10:uidLastSave="{00000000-0000-0000-0000-000000000000}"/>
  <bookViews>
    <workbookView xWindow="60" yWindow="150" windowWidth="20535" windowHeight="9870" activeTab="1" xr2:uid="{00000000-000D-0000-FFFF-FFFF00000000}"/>
  </bookViews>
  <sheets>
    <sheet name="Directions" sheetId="3" r:id="rId1"/>
    <sheet name="Hex2Value" sheetId="1" r:id="rId2"/>
    <sheet name="Value2Hex" sheetId="2" r:id="rId3"/>
  </sheets>
  <calcPr calcId="191029"/>
</workbook>
</file>

<file path=xl/calcChain.xml><?xml version="1.0" encoding="utf-8"?>
<calcChain xmlns="http://schemas.openxmlformats.org/spreadsheetml/2006/main">
  <c r="E31" i="1" l="1"/>
  <c r="H31" i="1" s="1"/>
  <c r="I31" i="1" s="1"/>
  <c r="F31" i="1" l="1"/>
  <c r="G31" i="1" s="1"/>
  <c r="J31" i="1" s="1"/>
  <c r="C27" i="3"/>
  <c r="E27" i="3" s="1"/>
  <c r="A28" i="3"/>
  <c r="A29" i="3" s="1"/>
  <c r="C29" i="3" s="1"/>
  <c r="E29" i="3" s="1"/>
  <c r="C28" i="3" l="1"/>
  <c r="E28" i="3" s="1"/>
  <c r="A30" i="3"/>
  <c r="C30" i="3" l="1"/>
  <c r="E30" i="3" s="1"/>
  <c r="A31" i="3"/>
  <c r="C31" i="3" l="1"/>
  <c r="E31" i="3" s="1"/>
  <c r="A32" i="3"/>
  <c r="E37" i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36" i="1"/>
  <c r="F36" i="1" s="1"/>
  <c r="A33" i="3" l="1"/>
  <c r="C32" i="3"/>
  <c r="E32" i="3" s="1"/>
  <c r="F37" i="1"/>
  <c r="G36" i="1"/>
  <c r="H36" i="1" s="1"/>
  <c r="G44" i="1"/>
  <c r="H44" i="1" s="1"/>
  <c r="I44" i="1" s="1"/>
  <c r="G43" i="1"/>
  <c r="H43" i="1" s="1"/>
  <c r="G42" i="1"/>
  <c r="G41" i="1"/>
  <c r="G40" i="1"/>
  <c r="G39" i="1"/>
  <c r="H39" i="1" s="1"/>
  <c r="G38" i="1"/>
  <c r="H38" i="1" s="1"/>
  <c r="I38" i="1" s="1"/>
  <c r="D3" i="2"/>
  <c r="I21" i="2" s="1"/>
  <c r="E2" i="2"/>
  <c r="F2" i="2" s="1"/>
  <c r="G2" i="2" s="1"/>
  <c r="E6" i="2" s="1"/>
  <c r="F6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F24" i="2"/>
  <c r="G24" i="2" s="1"/>
  <c r="F23" i="2"/>
  <c r="G23" i="2" s="1"/>
  <c r="F22" i="2"/>
  <c r="H22" i="2" s="1"/>
  <c r="F17" i="2"/>
  <c r="G17" i="2" s="1"/>
  <c r="F16" i="2"/>
  <c r="H16" i="2" s="1"/>
  <c r="F15" i="2"/>
  <c r="H15" i="2" s="1"/>
  <c r="F14" i="2"/>
  <c r="H14" i="2" s="1"/>
  <c r="F11" i="2"/>
  <c r="H11" i="2" s="1"/>
  <c r="F10" i="2"/>
  <c r="G10" i="2" s="1"/>
  <c r="F13" i="2"/>
  <c r="H25" i="2" l="1"/>
  <c r="G25" i="2"/>
  <c r="H13" i="2"/>
  <c r="G13" i="2"/>
  <c r="A34" i="3"/>
  <c r="C33" i="3"/>
  <c r="E33" i="3" s="1"/>
  <c r="I36" i="1"/>
  <c r="J36" i="1" s="1"/>
  <c r="K36" i="1" s="1"/>
  <c r="L36" i="1" s="1"/>
  <c r="I43" i="1"/>
  <c r="J43" i="1" s="1"/>
  <c r="G37" i="1"/>
  <c r="I39" i="1"/>
  <c r="J39" i="1" s="1"/>
  <c r="J38" i="1"/>
  <c r="K38" i="1" s="1"/>
  <c r="H40" i="1"/>
  <c r="I40" i="1" s="1"/>
  <c r="H42" i="1"/>
  <c r="I42" i="1" s="1"/>
  <c r="H41" i="1"/>
  <c r="I41" i="1" s="1"/>
  <c r="J44" i="1"/>
  <c r="K44" i="1" s="1"/>
  <c r="I8" i="2"/>
  <c r="I9" i="2"/>
  <c r="I18" i="2"/>
  <c r="I19" i="2"/>
  <c r="I20" i="2"/>
  <c r="J2" i="2"/>
  <c r="E8" i="2"/>
  <c r="F8" i="2" s="1"/>
  <c r="G8" i="2" s="1"/>
  <c r="E7" i="2"/>
  <c r="E12" i="2"/>
  <c r="F12" i="2" s="1"/>
  <c r="H12" i="2" s="1"/>
  <c r="E18" i="2"/>
  <c r="F18" i="2" s="1"/>
  <c r="H18" i="2" s="1"/>
  <c r="E19" i="2"/>
  <c r="F19" i="2" s="1"/>
  <c r="H19" i="2" s="1"/>
  <c r="E5" i="2"/>
  <c r="F5" i="2" s="1"/>
  <c r="G5" i="2" s="1"/>
  <c r="E20" i="2"/>
  <c r="F20" i="2" s="1"/>
  <c r="H20" i="2" s="1"/>
  <c r="E9" i="2"/>
  <c r="F21" i="2"/>
  <c r="H21" i="2" s="1"/>
  <c r="H24" i="2"/>
  <c r="G30" i="2"/>
  <c r="G29" i="2"/>
  <c r="G28" i="2"/>
  <c r="G27" i="2"/>
  <c r="G26" i="2"/>
  <c r="H23" i="2"/>
  <c r="G22" i="2"/>
  <c r="H17" i="2"/>
  <c r="G16" i="2"/>
  <c r="G15" i="2"/>
  <c r="G14" i="2"/>
  <c r="G11" i="2"/>
  <c r="H10" i="2"/>
  <c r="G6" i="2"/>
  <c r="H6" i="2"/>
  <c r="E34" i="1"/>
  <c r="H34" i="1" s="1"/>
  <c r="I34" i="1" s="1"/>
  <c r="E33" i="1"/>
  <c r="H33" i="1" s="1"/>
  <c r="I33" i="1" s="1"/>
  <c r="E32" i="1"/>
  <c r="H32" i="1" s="1"/>
  <c r="D3" i="1"/>
  <c r="K20" i="1" s="1"/>
  <c r="E29" i="1"/>
  <c r="E28" i="1"/>
  <c r="H28" i="1" s="1"/>
  <c r="I28" i="1" s="1"/>
  <c r="E27" i="1"/>
  <c r="H27" i="1" s="1"/>
  <c r="I27" i="1" s="1"/>
  <c r="E26" i="1"/>
  <c r="H26" i="1" s="1"/>
  <c r="I26" i="1" s="1"/>
  <c r="E25" i="1"/>
  <c r="H25" i="1" s="1"/>
  <c r="I25" i="1" s="1"/>
  <c r="E24" i="1"/>
  <c r="H24" i="1" s="1"/>
  <c r="I24" i="1" s="1"/>
  <c r="E23" i="1"/>
  <c r="H23" i="1" s="1"/>
  <c r="I23" i="1" s="1"/>
  <c r="E22" i="1"/>
  <c r="H22" i="1" s="1"/>
  <c r="I22" i="1" s="1"/>
  <c r="E20" i="1"/>
  <c r="H20" i="1" s="1"/>
  <c r="E19" i="1"/>
  <c r="H19" i="1" s="1"/>
  <c r="E18" i="1"/>
  <c r="H18" i="1" s="1"/>
  <c r="E17" i="1"/>
  <c r="H17" i="1" s="1"/>
  <c r="E13" i="1"/>
  <c r="H13" i="1" s="1"/>
  <c r="I13" i="1" s="1"/>
  <c r="E14" i="1"/>
  <c r="H14" i="1" s="1"/>
  <c r="E15" i="1"/>
  <c r="H15" i="1" s="1"/>
  <c r="E16" i="1"/>
  <c r="H16" i="1" s="1"/>
  <c r="E12" i="1"/>
  <c r="H12" i="1" s="1"/>
  <c r="I12" i="1" s="1"/>
  <c r="E11" i="1"/>
  <c r="H11" i="1" s="1"/>
  <c r="E10" i="1"/>
  <c r="H10" i="1" s="1"/>
  <c r="I10" i="1" s="1"/>
  <c r="E9" i="1"/>
  <c r="H9" i="1" s="1"/>
  <c r="I9" i="1" s="1"/>
  <c r="E5" i="1"/>
  <c r="H5" i="1" s="1"/>
  <c r="E6" i="1"/>
  <c r="H6" i="1" s="1"/>
  <c r="E7" i="1"/>
  <c r="H7" i="1" s="1"/>
  <c r="E8" i="1"/>
  <c r="H8" i="1" s="1"/>
  <c r="E21" i="1"/>
  <c r="H21" i="1" s="1"/>
  <c r="I21" i="1" s="1"/>
  <c r="E4" i="1"/>
  <c r="H4" i="1" s="1"/>
  <c r="E2" i="1"/>
  <c r="F2" i="1" s="1"/>
  <c r="G2" i="1" s="1"/>
  <c r="J2" i="1" s="1"/>
  <c r="G5" i="1" s="1"/>
  <c r="C34" i="3" l="1"/>
  <c r="E34" i="3" s="1"/>
  <c r="A35" i="3"/>
  <c r="L44" i="1"/>
  <c r="K43" i="1"/>
  <c r="L43" i="1" s="1"/>
  <c r="J42" i="1"/>
  <c r="K42" i="1" s="1"/>
  <c r="H37" i="1"/>
  <c r="I37" i="1" s="1"/>
  <c r="J37" i="1" s="1"/>
  <c r="K37" i="1" s="1"/>
  <c r="J40" i="1"/>
  <c r="J41" i="1"/>
  <c r="K39" i="1"/>
  <c r="L39" i="1" s="1"/>
  <c r="L38" i="1"/>
  <c r="K7" i="1"/>
  <c r="K18" i="1"/>
  <c r="K17" i="1"/>
  <c r="K8" i="1"/>
  <c r="K19" i="1"/>
  <c r="G19" i="2"/>
  <c r="H8" i="2"/>
  <c r="H5" i="2"/>
  <c r="G12" i="2"/>
  <c r="G18" i="2"/>
  <c r="G20" i="2"/>
  <c r="G21" i="2"/>
  <c r="F9" i="2"/>
  <c r="F7" i="2"/>
  <c r="G32" i="1"/>
  <c r="J32" i="1" s="1"/>
  <c r="F34" i="1"/>
  <c r="G34" i="1" s="1"/>
  <c r="J34" i="1" s="1"/>
  <c r="F33" i="1"/>
  <c r="G33" i="1" s="1"/>
  <c r="J33" i="1" s="1"/>
  <c r="F24" i="1"/>
  <c r="G24" i="1" s="1"/>
  <c r="J24" i="1" s="1"/>
  <c r="G17" i="1"/>
  <c r="J17" i="1" s="1"/>
  <c r="G19" i="1"/>
  <c r="J19" i="1" s="1"/>
  <c r="G20" i="1"/>
  <c r="J20" i="1" s="1"/>
  <c r="G18" i="1"/>
  <c r="J18" i="1" s="1"/>
  <c r="F15" i="1"/>
  <c r="G15" i="1" s="1"/>
  <c r="I15" i="1"/>
  <c r="H29" i="1"/>
  <c r="I29" i="1" s="1"/>
  <c r="F28" i="1"/>
  <c r="G28" i="1" s="1"/>
  <c r="J28" i="1" s="1"/>
  <c r="F27" i="1"/>
  <c r="G27" i="1" s="1"/>
  <c r="J27" i="1" s="1"/>
  <c r="F26" i="1"/>
  <c r="G26" i="1" s="1"/>
  <c r="J26" i="1" s="1"/>
  <c r="F25" i="1"/>
  <c r="G25" i="1" s="1"/>
  <c r="J25" i="1" s="1"/>
  <c r="F23" i="1"/>
  <c r="G23" i="1" s="1"/>
  <c r="J23" i="1" s="1"/>
  <c r="F22" i="1"/>
  <c r="G22" i="1" s="1"/>
  <c r="J22" i="1" s="1"/>
  <c r="F13" i="1"/>
  <c r="G13" i="1" s="1"/>
  <c r="J13" i="1" s="1"/>
  <c r="G11" i="1"/>
  <c r="J11" i="1" s="1"/>
  <c r="F14" i="1"/>
  <c r="G14" i="1" s="1"/>
  <c r="I14" i="1"/>
  <c r="F16" i="1"/>
  <c r="G16" i="1" s="1"/>
  <c r="I16" i="1"/>
  <c r="F12" i="1"/>
  <c r="G12" i="1" s="1"/>
  <c r="J12" i="1" s="1"/>
  <c r="F10" i="1"/>
  <c r="G10" i="1" s="1"/>
  <c r="J10" i="1" s="1"/>
  <c r="F9" i="1"/>
  <c r="G9" i="1" s="1"/>
  <c r="J9" i="1" s="1"/>
  <c r="G4" i="1"/>
  <c r="J4" i="1" s="1"/>
  <c r="G6" i="1"/>
  <c r="J6" i="1" s="1"/>
  <c r="G7" i="1"/>
  <c r="J7" i="1" s="1"/>
  <c r="G8" i="1"/>
  <c r="J8" i="1" s="1"/>
  <c r="J5" i="1"/>
  <c r="F21" i="1"/>
  <c r="G21" i="1" s="1"/>
  <c r="J21" i="1" s="1"/>
  <c r="C35" i="3" l="1"/>
  <c r="E35" i="3" s="1"/>
  <c r="A36" i="3"/>
  <c r="L19" i="1"/>
  <c r="J15" i="1"/>
  <c r="L42" i="1"/>
  <c r="L37" i="1"/>
  <c r="K40" i="1"/>
  <c r="L40" i="1" s="1"/>
  <c r="K41" i="1"/>
  <c r="L41" i="1" s="1"/>
  <c r="L20" i="1"/>
  <c r="L8" i="1"/>
  <c r="L17" i="1"/>
  <c r="G7" i="2"/>
  <c r="H7" i="2"/>
  <c r="G9" i="2"/>
  <c r="H9" i="2"/>
  <c r="L18" i="1"/>
  <c r="J16" i="1"/>
  <c r="L7" i="1"/>
  <c r="J14" i="1"/>
  <c r="F29" i="1"/>
  <c r="G29" i="1" s="1"/>
  <c r="J29" i="1" s="1"/>
  <c r="C36" i="3" l="1"/>
  <c r="E36" i="3" s="1"/>
  <c r="A37" i="3"/>
  <c r="C37" i="3" l="1"/>
  <c r="E37" i="3" s="1"/>
  <c r="A38" i="3"/>
  <c r="C38" i="3" l="1"/>
  <c r="E38" i="3" s="1"/>
  <c r="A39" i="3"/>
  <c r="C39" i="3" l="1"/>
  <c r="E39" i="3" s="1"/>
  <c r="A40" i="3"/>
  <c r="C40" i="3" l="1"/>
  <c r="E40" i="3" s="1"/>
  <c r="A41" i="3"/>
  <c r="C41" i="3" l="1"/>
  <c r="E41" i="3" s="1"/>
  <c r="A42" i="3"/>
  <c r="C42" i="3" l="1"/>
  <c r="E42" i="3" s="1"/>
  <c r="A43" i="3"/>
  <c r="C43" i="3" l="1"/>
  <c r="E43" i="3" s="1"/>
  <c r="A44" i="3"/>
  <c r="C44" i="3" l="1"/>
  <c r="E44" i="3" s="1"/>
  <c r="A45" i="3"/>
  <c r="A46" i="3" l="1"/>
  <c r="C45" i="3"/>
  <c r="E45" i="3" s="1"/>
  <c r="C46" i="3" l="1"/>
  <c r="E46" i="3" s="1"/>
  <c r="A47" i="3"/>
  <c r="C47" i="3" l="1"/>
  <c r="E47" i="3" s="1"/>
  <c r="A48" i="3"/>
  <c r="C48" i="3" l="1"/>
  <c r="E48" i="3" s="1"/>
  <c r="A49" i="3"/>
  <c r="A50" i="3" l="1"/>
  <c r="C49" i="3"/>
  <c r="E49" i="3" s="1"/>
  <c r="A51" i="3" l="1"/>
  <c r="C50" i="3"/>
  <c r="E50" i="3" s="1"/>
  <c r="C51" i="3" l="1"/>
  <c r="E51" i="3" s="1"/>
  <c r="A52" i="3"/>
  <c r="C52" i="3" l="1"/>
  <c r="E52" i="3" s="1"/>
  <c r="A53" i="3"/>
  <c r="A54" i="3" l="1"/>
  <c r="C53" i="3"/>
  <c r="E53" i="3" s="1"/>
  <c r="C54" i="3" l="1"/>
  <c r="E54" i="3" s="1"/>
  <c r="A55" i="3"/>
  <c r="C55" i="3" l="1"/>
  <c r="E55" i="3" s="1"/>
  <c r="A56" i="3"/>
  <c r="C56" i="3" l="1"/>
  <c r="E56" i="3" s="1"/>
  <c r="A57" i="3"/>
  <c r="C57" i="3" l="1"/>
  <c r="E57" i="3" s="1"/>
  <c r="A58" i="3"/>
  <c r="C58" i="3" s="1"/>
  <c r="E58" i="3" s="1"/>
</calcChain>
</file>

<file path=xl/sharedStrings.xml><?xml version="1.0" encoding="utf-8"?>
<sst xmlns="http://schemas.openxmlformats.org/spreadsheetml/2006/main" count="297" uniqueCount="128">
  <si>
    <t>VOUT_MODE</t>
  </si>
  <si>
    <t>Dec</t>
  </si>
  <si>
    <t>Exp (Unsigned)</t>
  </si>
  <si>
    <t>Exponent (Signed)</t>
  </si>
  <si>
    <t>Mantissa (Unsigned)</t>
  </si>
  <si>
    <t>Mantissa (Signed)</t>
  </si>
  <si>
    <t>Value</t>
  </si>
  <si>
    <t>Units</t>
  </si>
  <si>
    <t>VOUT_COMMAND</t>
  </si>
  <si>
    <t>V</t>
  </si>
  <si>
    <t>F0D0</t>
  </si>
  <si>
    <t>A</t>
  </si>
  <si>
    <t>IOUT_OC_FAULT_LIMIT</t>
  </si>
  <si>
    <t>VOUT_TRIM</t>
  </si>
  <si>
    <t>VOUT_MAX</t>
  </si>
  <si>
    <t>VOUT_MARGIN_LOW</t>
  </si>
  <si>
    <t>VOUT_MARGIN_HIGH</t>
  </si>
  <si>
    <t>VOUT_TRANSISTION_RATE</t>
  </si>
  <si>
    <t>VOUT_SCALE_LOOP</t>
  </si>
  <si>
    <t>VOUT_MIN</t>
  </si>
  <si>
    <t>mV/us</t>
  </si>
  <si>
    <t>V/V</t>
  </si>
  <si>
    <t>FREQUENCY_SWITCH</t>
  </si>
  <si>
    <t>VIN_ON</t>
  </si>
  <si>
    <t>VIN_OFF</t>
  </si>
  <si>
    <t>IOUT_CAL_GAIN</t>
  </si>
  <si>
    <t>IOUT_CAL_OFFSET</t>
  </si>
  <si>
    <t>kHz</t>
  </si>
  <si>
    <t>A/mV</t>
  </si>
  <si>
    <t>VOUT_OV_FAULT_LIMIT</t>
  </si>
  <si>
    <t>VOUT_OV_WARN_LIMIT</t>
  </si>
  <si>
    <t>VOUT_UV_WARN_LIMIT</t>
  </si>
  <si>
    <t>VOUT_UV_FAULT_LIMIT</t>
  </si>
  <si>
    <t>IOUT_OC_WARN_LIMIT</t>
  </si>
  <si>
    <t>OT_FAULT_LIMIT</t>
  </si>
  <si>
    <t>OT_WARN_LIMIT</t>
  </si>
  <si>
    <t>TON_DELAY</t>
  </si>
  <si>
    <t>TON_RISE</t>
  </si>
  <si>
    <t>TON_MAX_FAULT_LIMIT</t>
  </si>
  <si>
    <t>TOFF_DELAY</t>
  </si>
  <si>
    <t>TOFF_FALL</t>
  </si>
  <si>
    <t>ms</t>
  </si>
  <si>
    <t>C</t>
  </si>
  <si>
    <t>E010</t>
  </si>
  <si>
    <t>C840</t>
  </si>
  <si>
    <t>C880</t>
  </si>
  <si>
    <t>F800</t>
  </si>
  <si>
    <t>F00C</t>
  </si>
  <si>
    <t>READ_VOUT</t>
  </si>
  <si>
    <t>READ_IOUT</t>
  </si>
  <si>
    <t>READ_TEMPERATURE1</t>
  </si>
  <si>
    <t xml:space="preserve">      Relative?</t>
  </si>
  <si>
    <t>Hex Value</t>
  </si>
  <si>
    <t>Command</t>
  </si>
  <si>
    <t>Exponent</t>
  </si>
  <si>
    <t>Mantissa</t>
  </si>
  <si>
    <t>Hex</t>
  </si>
  <si>
    <t>Decimal (target)</t>
  </si>
  <si>
    <t>Decimal (Actual)</t>
  </si>
  <si>
    <t>mV/A</t>
  </si>
  <si>
    <t>To Decode a Hex value from PMBus:</t>
  </si>
  <si>
    <r>
      <t>1)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Make sure the tab is Hex2Value</t>
    </r>
  </si>
  <si>
    <r>
      <t>2)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Enter the Hex Value for VOUT_MODE (required if using a VOUT related command)</t>
    </r>
  </si>
  <si>
    <r>
      <t>3)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Enter the PMBus HEX value into column B</t>
    </r>
  </si>
  <si>
    <r>
      <t>4)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Read the Decimal value from Column H</t>
    </r>
  </si>
  <si>
    <r>
      <t>1)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Make sure the tab is Value2Hex</t>
    </r>
  </si>
  <si>
    <r>
      <t>3)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Enter the Decimal value into Column B</t>
    </r>
  </si>
  <si>
    <r>
      <t>4)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Enter the PMBus Exponent (2^N) value to be used in column C (fixed by VOUT_MODE for VOUT related functions)</t>
    </r>
  </si>
  <si>
    <t>Command Code (Hex)</t>
  </si>
  <si>
    <t>Write Format</t>
  </si>
  <si>
    <t>Write Byte</t>
  </si>
  <si>
    <t>Write Word</t>
  </si>
  <si>
    <t>2B</t>
  </si>
  <si>
    <t>4A</t>
  </si>
  <si>
    <t>4F</t>
  </si>
  <si>
    <t>Read Format</t>
  </si>
  <si>
    <t>Read Byte</t>
  </si>
  <si>
    <t>Read Word</t>
  </si>
  <si>
    <t>8B</t>
  </si>
  <si>
    <t>8C</t>
  </si>
  <si>
    <t>8D</t>
  </si>
  <si>
    <t>STATUS_BYTE</t>
  </si>
  <si>
    <t>STATUS_WORD</t>
  </si>
  <si>
    <t>STATUS_VOUT</t>
  </si>
  <si>
    <t>STATUS_IOUT</t>
  </si>
  <si>
    <t>STATUS_INPUT</t>
  </si>
  <si>
    <t>STATUS_TEMPERATURE</t>
  </si>
  <si>
    <t>STATUS_CML</t>
  </si>
  <si>
    <t>STATUS_OTHER</t>
  </si>
  <si>
    <t>STATUS_MFR_SPECIFIC</t>
  </si>
  <si>
    <t>7A</t>
  </si>
  <si>
    <t>7B</t>
  </si>
  <si>
    <t>7C</t>
  </si>
  <si>
    <t>7D</t>
  </si>
  <si>
    <t>7E</t>
  </si>
  <si>
    <t>7F</t>
  </si>
  <si>
    <t>Command Code</t>
  </si>
  <si>
    <t>Status</t>
  </si>
  <si>
    <t>High Byte</t>
  </si>
  <si>
    <t>F00E</t>
  </si>
  <si>
    <t>F00D</t>
  </si>
  <si>
    <t>D800</t>
  </si>
  <si>
    <t>F0F8</t>
  </si>
  <si>
    <t>96</t>
  </si>
  <si>
    <t>F000</t>
  </si>
  <si>
    <t>F806</t>
  </si>
  <si>
    <t>0300</t>
  </si>
  <si>
    <t>021A</t>
  </si>
  <si>
    <t>01E6</t>
  </si>
  <si>
    <t>0100</t>
  </si>
  <si>
    <t>Telemetry</t>
  </si>
  <si>
    <t>A26</t>
  </si>
  <si>
    <t>0c00</t>
  </si>
  <si>
    <t>To Encode a Decimal value into PMBus:</t>
  </si>
  <si>
    <r>
      <t>6)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Read the PMBus Hex value from column E</t>
    </r>
  </si>
  <si>
    <r>
      <t>7)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Compare Encoded Decimal value (Column F) to the Target Decimal value (Column B)</t>
    </r>
  </si>
  <si>
    <r>
      <t>5)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If the Mantissa appears in red (is Greater than 1023 for SLinear11 commands) select a higher (less negative) exponent value</t>
    </r>
  </si>
  <si>
    <t>ULINEAR16 - Command is formated with 16 unsigned bit Mantissa.  Exponent is defined separarely, generally in VOUT_MODE</t>
  </si>
  <si>
    <t>SLINEAR16 - Command is formated with 16 signed bit Mantissa and can reprsent positive and negative numbers.  Exponent is defined separarely, generally in VOUT_MODE</t>
  </si>
  <si>
    <t>SLINEAR11 - Command is formated with 5-bit signed 2's Compliment Exponent (Bit [15:11] ) and 11-bit signed 2's Compliment Mantissa (Bit 10:0]</t>
  </si>
  <si>
    <t>Formats:</t>
  </si>
  <si>
    <t>Real World Values = 2^Exponent * Mantissa</t>
  </si>
  <si>
    <t>Resolution (LSB)</t>
  </si>
  <si>
    <t>Maximum Value</t>
  </si>
  <si>
    <t>READ_VIN</t>
  </si>
  <si>
    <t>D288</t>
  </si>
  <si>
    <t>01B1</t>
  </si>
  <si>
    <t>A297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</si>
</sst>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0.00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sz val="7"/>
      <color rgb="FF1F497D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0" fillId="3" borderId="1" xfId="0" applyFill="1" applyBorder="1"/>
    <xf numFmtId="0" fontId="1" fillId="2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3" borderId="3" xfId="0" applyFill="1" applyBorder="1"/>
    <xf numFmtId="164" fontId="0" fillId="0" borderId="3" xfId="0" applyNumberFormat="1" applyBorder="1"/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horizontal="center"/>
    </xf>
    <xf numFmtId="166" fontId="0" fillId="0" borderId="0" xfId="1" applyNumberFormat="1" applyFont="1"/>
    <xf numFmtId="0" fontId="0" fillId="0" borderId="0" xfId="1" applyNumberFormat="1" applyFont="1"/>
    <xf numFmtId="166" fontId="0" fillId="0" borderId="0" xfId="1" applyNumberFormat="1" applyFont="1" applyAlignment="1"/>
    <xf numFmtId="0" fontId="0" fillId="0" borderId="0" xfId="1" applyNumberFormat="1" applyFont="1" applyAlignment="1"/>
    <xf numFmtId="0" fontId="5" fillId="0" borderId="0" xfId="0" applyFont="1" applyAlignment="1">
      <alignment horizontal="left" vertical="center"/>
    </xf>
    <xf numFmtId="11" fontId="0" fillId="3" borderId="1" xfId="0" applyNumberFormat="1" applyFill="1" applyBorder="1"/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workbookViewId="0">
      <selection activeCell="H56" sqref="H56"/>
    </sheetView>
  </sheetViews>
  <sheetFormatPr defaultRowHeight="15" x14ac:dyDescent="0.25"/>
  <cols>
    <col min="3" max="3" width="16.28515625" customWidth="1"/>
    <col min="5" max="5" width="18.140625" customWidth="1"/>
  </cols>
  <sheetData>
    <row r="1" spans="1:1" x14ac:dyDescent="0.25">
      <c r="A1" s="9" t="s">
        <v>60</v>
      </c>
    </row>
    <row r="2" spans="1:1" x14ac:dyDescent="0.25">
      <c r="A2" s="9"/>
    </row>
    <row r="3" spans="1:1" x14ac:dyDescent="0.25">
      <c r="A3" s="10" t="s">
        <v>61</v>
      </c>
    </row>
    <row r="4" spans="1:1" x14ac:dyDescent="0.25">
      <c r="A4" s="10" t="s">
        <v>62</v>
      </c>
    </row>
    <row r="5" spans="1:1" x14ac:dyDescent="0.25">
      <c r="A5" s="10" t="s">
        <v>63</v>
      </c>
    </row>
    <row r="6" spans="1:1" x14ac:dyDescent="0.25">
      <c r="A6" s="10" t="s">
        <v>64</v>
      </c>
    </row>
    <row r="7" spans="1:1" x14ac:dyDescent="0.25">
      <c r="A7" s="9"/>
    </row>
    <row r="8" spans="1:1" x14ac:dyDescent="0.25">
      <c r="A8" s="9" t="s">
        <v>113</v>
      </c>
    </row>
    <row r="9" spans="1:1" x14ac:dyDescent="0.25">
      <c r="A9" s="9"/>
    </row>
    <row r="10" spans="1:1" x14ac:dyDescent="0.25">
      <c r="A10" s="10" t="s">
        <v>65</v>
      </c>
    </row>
    <row r="11" spans="1:1" x14ac:dyDescent="0.25">
      <c r="A11" s="10" t="s">
        <v>62</v>
      </c>
    </row>
    <row r="12" spans="1:1" x14ac:dyDescent="0.25">
      <c r="A12" s="10" t="s">
        <v>66</v>
      </c>
    </row>
    <row r="13" spans="1:1" x14ac:dyDescent="0.25">
      <c r="A13" s="10" t="s">
        <v>67</v>
      </c>
    </row>
    <row r="14" spans="1:1" x14ac:dyDescent="0.25">
      <c r="A14" s="10" t="s">
        <v>116</v>
      </c>
    </row>
    <row r="15" spans="1:1" x14ac:dyDescent="0.25">
      <c r="A15" s="10" t="s">
        <v>114</v>
      </c>
    </row>
    <row r="16" spans="1:1" x14ac:dyDescent="0.25">
      <c r="A16" s="10" t="s">
        <v>115</v>
      </c>
    </row>
    <row r="19" spans="1:5" x14ac:dyDescent="0.25">
      <c r="A19" s="10" t="s">
        <v>120</v>
      </c>
    </row>
    <row r="20" spans="1:5" x14ac:dyDescent="0.25">
      <c r="A20" s="10" t="s">
        <v>117</v>
      </c>
    </row>
    <row r="21" spans="1:5" x14ac:dyDescent="0.25">
      <c r="A21" s="10" t="s">
        <v>118</v>
      </c>
    </row>
    <row r="22" spans="1:5" x14ac:dyDescent="0.25">
      <c r="A22" s="10" t="s">
        <v>119</v>
      </c>
    </row>
    <row r="24" spans="1:5" x14ac:dyDescent="0.25">
      <c r="A24" s="10" t="s">
        <v>121</v>
      </c>
    </row>
    <row r="26" spans="1:5" x14ac:dyDescent="0.25">
      <c r="A26" s="29" t="s">
        <v>54</v>
      </c>
      <c r="C26" t="s">
        <v>122</v>
      </c>
      <c r="E26" t="s">
        <v>123</v>
      </c>
    </row>
    <row r="27" spans="1:5" x14ac:dyDescent="0.25">
      <c r="A27">
        <v>15</v>
      </c>
      <c r="C27" s="27">
        <f>2^A27</f>
        <v>32768</v>
      </c>
      <c r="E27" s="25">
        <f>1023*C27</f>
        <v>33521664</v>
      </c>
    </row>
    <row r="28" spans="1:5" x14ac:dyDescent="0.25">
      <c r="A28">
        <f>A27-1</f>
        <v>14</v>
      </c>
      <c r="C28" s="27">
        <f>2^A28</f>
        <v>16384</v>
      </c>
      <c r="E28" s="25">
        <f>1023*C28</f>
        <v>16760832</v>
      </c>
    </row>
    <row r="29" spans="1:5" x14ac:dyDescent="0.25">
      <c r="A29">
        <f t="shared" ref="A29:A43" si="0">A28-1</f>
        <v>13</v>
      </c>
      <c r="C29" s="27">
        <f t="shared" ref="C29:C43" si="1">2^A29</f>
        <v>8192</v>
      </c>
      <c r="E29" s="25">
        <f t="shared" ref="E29:E43" si="2">1023*C29</f>
        <v>8380416</v>
      </c>
    </row>
    <row r="30" spans="1:5" x14ac:dyDescent="0.25">
      <c r="A30">
        <f t="shared" si="0"/>
        <v>12</v>
      </c>
      <c r="C30" s="27">
        <f t="shared" si="1"/>
        <v>4096</v>
      </c>
      <c r="E30" s="25">
        <f t="shared" si="2"/>
        <v>4190208</v>
      </c>
    </row>
    <row r="31" spans="1:5" x14ac:dyDescent="0.25">
      <c r="A31">
        <f t="shared" si="0"/>
        <v>11</v>
      </c>
      <c r="C31" s="27">
        <f t="shared" si="1"/>
        <v>2048</v>
      </c>
      <c r="E31" s="25">
        <f t="shared" si="2"/>
        <v>2095104</v>
      </c>
    </row>
    <row r="32" spans="1:5" x14ac:dyDescent="0.25">
      <c r="A32">
        <f t="shared" si="0"/>
        <v>10</v>
      </c>
      <c r="C32" s="27">
        <f t="shared" si="1"/>
        <v>1024</v>
      </c>
      <c r="E32" s="25">
        <f t="shared" si="2"/>
        <v>1047552</v>
      </c>
    </row>
    <row r="33" spans="1:5" x14ac:dyDescent="0.25">
      <c r="A33">
        <f t="shared" si="0"/>
        <v>9</v>
      </c>
      <c r="C33" s="27">
        <f t="shared" si="1"/>
        <v>512</v>
      </c>
      <c r="E33" s="25">
        <f t="shared" si="2"/>
        <v>523776</v>
      </c>
    </row>
    <row r="34" spans="1:5" x14ac:dyDescent="0.25">
      <c r="A34">
        <f t="shared" si="0"/>
        <v>8</v>
      </c>
      <c r="C34" s="27">
        <f t="shared" si="1"/>
        <v>256</v>
      </c>
      <c r="E34" s="25">
        <f t="shared" si="2"/>
        <v>261888</v>
      </c>
    </row>
    <row r="35" spans="1:5" x14ac:dyDescent="0.25">
      <c r="A35">
        <f t="shared" si="0"/>
        <v>7</v>
      </c>
      <c r="C35" s="27">
        <f t="shared" si="1"/>
        <v>128</v>
      </c>
      <c r="E35" s="25">
        <f t="shared" si="2"/>
        <v>130944</v>
      </c>
    </row>
    <row r="36" spans="1:5" x14ac:dyDescent="0.25">
      <c r="A36">
        <f t="shared" si="0"/>
        <v>6</v>
      </c>
      <c r="C36" s="27">
        <f t="shared" si="1"/>
        <v>64</v>
      </c>
      <c r="E36" s="25">
        <f t="shared" si="2"/>
        <v>65472</v>
      </c>
    </row>
    <row r="37" spans="1:5" x14ac:dyDescent="0.25">
      <c r="A37">
        <f t="shared" si="0"/>
        <v>5</v>
      </c>
      <c r="C37" s="27">
        <f t="shared" si="1"/>
        <v>32</v>
      </c>
      <c r="E37" s="25">
        <f t="shared" si="2"/>
        <v>32736</v>
      </c>
    </row>
    <row r="38" spans="1:5" x14ac:dyDescent="0.25">
      <c r="A38">
        <f t="shared" si="0"/>
        <v>4</v>
      </c>
      <c r="C38" s="27">
        <f t="shared" si="1"/>
        <v>16</v>
      </c>
      <c r="E38" s="25">
        <f t="shared" si="2"/>
        <v>16368</v>
      </c>
    </row>
    <row r="39" spans="1:5" x14ac:dyDescent="0.25">
      <c r="A39">
        <f t="shared" si="0"/>
        <v>3</v>
      </c>
      <c r="C39" s="27">
        <f t="shared" si="1"/>
        <v>8</v>
      </c>
      <c r="E39" s="25">
        <f t="shared" si="2"/>
        <v>8184</v>
      </c>
    </row>
    <row r="40" spans="1:5" x14ac:dyDescent="0.25">
      <c r="A40">
        <f t="shared" si="0"/>
        <v>2</v>
      </c>
      <c r="C40" s="27">
        <f t="shared" si="1"/>
        <v>4</v>
      </c>
      <c r="E40" s="25">
        <f t="shared" si="2"/>
        <v>4092</v>
      </c>
    </row>
    <row r="41" spans="1:5" x14ac:dyDescent="0.25">
      <c r="A41">
        <f t="shared" si="0"/>
        <v>1</v>
      </c>
      <c r="C41" s="27">
        <f t="shared" si="1"/>
        <v>2</v>
      </c>
      <c r="E41" s="25">
        <f t="shared" si="2"/>
        <v>2046</v>
      </c>
    </row>
    <row r="42" spans="1:5" x14ac:dyDescent="0.25">
      <c r="A42">
        <f t="shared" si="0"/>
        <v>0</v>
      </c>
      <c r="C42" s="27">
        <f t="shared" si="1"/>
        <v>1</v>
      </c>
      <c r="E42" s="25">
        <f t="shared" si="2"/>
        <v>1023</v>
      </c>
    </row>
    <row r="43" spans="1:5" x14ac:dyDescent="0.25">
      <c r="A43">
        <f t="shared" si="0"/>
        <v>-1</v>
      </c>
      <c r="C43" s="28">
        <f t="shared" si="1"/>
        <v>0.5</v>
      </c>
      <c r="E43" s="26">
        <f t="shared" si="2"/>
        <v>511.5</v>
      </c>
    </row>
    <row r="44" spans="1:5" x14ac:dyDescent="0.25">
      <c r="A44">
        <f t="shared" ref="A44:A54" si="3">A43-1</f>
        <v>-2</v>
      </c>
      <c r="C44" s="28">
        <f t="shared" ref="C44:C54" si="4">2^A44</f>
        <v>0.25</v>
      </c>
      <c r="E44" s="26">
        <f t="shared" ref="E44:E54" si="5">1023*C44</f>
        <v>255.75</v>
      </c>
    </row>
    <row r="45" spans="1:5" x14ac:dyDescent="0.25">
      <c r="A45">
        <f t="shared" si="3"/>
        <v>-3</v>
      </c>
      <c r="C45" s="28">
        <f t="shared" si="4"/>
        <v>0.125</v>
      </c>
      <c r="E45" s="26">
        <f t="shared" si="5"/>
        <v>127.875</v>
      </c>
    </row>
    <row r="46" spans="1:5" x14ac:dyDescent="0.25">
      <c r="A46">
        <f t="shared" si="3"/>
        <v>-4</v>
      </c>
      <c r="C46" s="28">
        <f t="shared" si="4"/>
        <v>6.25E-2</v>
      </c>
      <c r="E46" s="26">
        <f t="shared" si="5"/>
        <v>63.9375</v>
      </c>
    </row>
    <row r="47" spans="1:5" x14ac:dyDescent="0.25">
      <c r="A47">
        <f t="shared" si="3"/>
        <v>-5</v>
      </c>
      <c r="C47" s="28">
        <f t="shared" si="4"/>
        <v>3.125E-2</v>
      </c>
      <c r="E47" s="26">
        <f t="shared" si="5"/>
        <v>31.96875</v>
      </c>
    </row>
    <row r="48" spans="1:5" x14ac:dyDescent="0.25">
      <c r="A48">
        <f t="shared" si="3"/>
        <v>-6</v>
      </c>
      <c r="C48" s="28">
        <f t="shared" si="4"/>
        <v>1.5625E-2</v>
      </c>
      <c r="E48" s="26">
        <f t="shared" si="5"/>
        <v>15.984375</v>
      </c>
    </row>
    <row r="49" spans="1:5" x14ac:dyDescent="0.25">
      <c r="A49">
        <f t="shared" si="3"/>
        <v>-7</v>
      </c>
      <c r="C49" s="28">
        <f t="shared" si="4"/>
        <v>7.8125E-3</v>
      </c>
      <c r="E49" s="26">
        <f t="shared" si="5"/>
        <v>7.9921875</v>
      </c>
    </row>
    <row r="50" spans="1:5" x14ac:dyDescent="0.25">
      <c r="A50">
        <f t="shared" si="3"/>
        <v>-8</v>
      </c>
      <c r="C50" s="28">
        <f t="shared" si="4"/>
        <v>3.90625E-3</v>
      </c>
      <c r="E50" s="26">
        <f t="shared" si="5"/>
        <v>3.99609375</v>
      </c>
    </row>
    <row r="51" spans="1:5" x14ac:dyDescent="0.25">
      <c r="A51">
        <f t="shared" si="3"/>
        <v>-9</v>
      </c>
      <c r="C51" s="28">
        <f t="shared" si="4"/>
        <v>1.953125E-3</v>
      </c>
      <c r="E51" s="26">
        <f t="shared" si="5"/>
        <v>1.998046875</v>
      </c>
    </row>
    <row r="52" spans="1:5" x14ac:dyDescent="0.25">
      <c r="A52">
        <f t="shared" si="3"/>
        <v>-10</v>
      </c>
      <c r="C52" s="28">
        <f t="shared" si="4"/>
        <v>9.765625E-4</v>
      </c>
      <c r="E52" s="26">
        <f t="shared" si="5"/>
        <v>0.9990234375</v>
      </c>
    </row>
    <row r="53" spans="1:5" x14ac:dyDescent="0.25">
      <c r="A53">
        <f t="shared" si="3"/>
        <v>-11</v>
      </c>
      <c r="C53" s="28">
        <f t="shared" si="4"/>
        <v>4.8828125E-4</v>
      </c>
      <c r="E53" s="26">
        <f t="shared" si="5"/>
        <v>0.49951171875</v>
      </c>
    </row>
    <row r="54" spans="1:5" x14ac:dyDescent="0.25">
      <c r="A54">
        <f t="shared" si="3"/>
        <v>-12</v>
      </c>
      <c r="C54" s="28">
        <f t="shared" si="4"/>
        <v>2.44140625E-4</v>
      </c>
      <c r="E54" s="26">
        <f t="shared" si="5"/>
        <v>0.249755859375</v>
      </c>
    </row>
    <row r="55" spans="1:5" x14ac:dyDescent="0.25">
      <c r="A55">
        <f t="shared" ref="A55:A58" si="6">A54-1</f>
        <v>-13</v>
      </c>
      <c r="C55" s="28">
        <f t="shared" ref="C55:C58" si="7">2^A55</f>
        <v>1.220703125E-4</v>
      </c>
      <c r="E55" s="26">
        <f t="shared" ref="E55:E58" si="8">1023*C55</f>
        <v>0.1248779296875</v>
      </c>
    </row>
    <row r="56" spans="1:5" x14ac:dyDescent="0.25">
      <c r="A56">
        <f t="shared" si="6"/>
        <v>-14</v>
      </c>
      <c r="C56" s="28">
        <f t="shared" si="7"/>
        <v>6.103515625E-5</v>
      </c>
      <c r="E56" s="26">
        <f t="shared" si="8"/>
        <v>6.243896484375E-2</v>
      </c>
    </row>
    <row r="57" spans="1:5" x14ac:dyDescent="0.25">
      <c r="A57">
        <f t="shared" si="6"/>
        <v>-15</v>
      </c>
      <c r="C57" s="28">
        <f t="shared" si="7"/>
        <v>3.0517578125E-5</v>
      </c>
      <c r="E57" s="26">
        <f t="shared" si="8"/>
        <v>3.1219482421875E-2</v>
      </c>
    </row>
    <row r="58" spans="1:5" x14ac:dyDescent="0.25">
      <c r="A58">
        <f t="shared" si="6"/>
        <v>-16</v>
      </c>
      <c r="C58" s="28">
        <f t="shared" si="7"/>
        <v>1.52587890625E-5</v>
      </c>
      <c r="E58" s="26">
        <f t="shared" si="8"/>
        <v>1.56097412109375E-2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tabSelected="1" topLeftCell="A22" workbookViewId="0">
      <selection activeCell="E34" sqref="E34"/>
    </sheetView>
  </sheetViews>
  <sheetFormatPr defaultRowHeight="15" x14ac:dyDescent="0.25"/>
  <cols>
    <col min="1" max="1" width="24.7109375" bestFit="1" customWidth="1"/>
    <col min="2" max="2" width="20.5703125" bestFit="1" customWidth="1"/>
    <col min="3" max="3" width="12.140625" bestFit="1" customWidth="1"/>
    <col min="4" max="4" width="10" bestFit="1" customWidth="1"/>
    <col min="5" max="5" width="6" bestFit="1" customWidth="1"/>
    <col min="6" max="6" width="14.42578125" bestFit="1" customWidth="1"/>
    <col min="7" max="7" width="17.5703125" bestFit="1" customWidth="1"/>
    <col min="8" max="8" width="19.28515625" bestFit="1" customWidth="1"/>
    <col min="9" max="9" width="16.85546875" bestFit="1" customWidth="1"/>
    <col min="10" max="10" width="12" bestFit="1" customWidth="1"/>
  </cols>
  <sheetData>
    <row r="1" spans="1:13" x14ac:dyDescent="0.25">
      <c r="A1" s="6" t="s">
        <v>53</v>
      </c>
      <c r="B1" s="6" t="s">
        <v>68</v>
      </c>
      <c r="C1" s="6" t="s">
        <v>75</v>
      </c>
      <c r="D1" s="6" t="s">
        <v>52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6</v>
      </c>
      <c r="M1" s="6" t="s">
        <v>7</v>
      </c>
    </row>
    <row r="2" spans="1:13" x14ac:dyDescent="0.25">
      <c r="A2" s="1" t="s">
        <v>0</v>
      </c>
      <c r="B2" s="2">
        <v>20</v>
      </c>
      <c r="C2" s="1" t="s">
        <v>76</v>
      </c>
      <c r="D2" s="2">
        <v>97</v>
      </c>
      <c r="E2" s="1">
        <f>HEX2DEC(D2)</f>
        <v>151</v>
      </c>
      <c r="F2" s="1">
        <f>MOD(E2,32)</f>
        <v>23</v>
      </c>
      <c r="G2" s="1">
        <f>IF(F2&lt;16,F2,-(32-(F2)))</f>
        <v>-9</v>
      </c>
      <c r="H2" s="7"/>
      <c r="I2" s="7"/>
      <c r="J2" s="1">
        <f>G2</f>
        <v>-9</v>
      </c>
      <c r="K2" s="1"/>
      <c r="L2" s="7"/>
      <c r="M2" s="7"/>
    </row>
    <row r="3" spans="1:13" ht="15.75" thickBot="1" x14ac:dyDescent="0.3">
      <c r="A3" s="21" t="s">
        <v>51</v>
      </c>
      <c r="B3" s="22"/>
      <c r="C3" s="23"/>
      <c r="D3" s="24">
        <f>IF(HEX2DEC(D2)&gt;127,1,0)</f>
        <v>1</v>
      </c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17" t="s">
        <v>8</v>
      </c>
      <c r="B4" s="18">
        <v>21</v>
      </c>
      <c r="C4" s="17" t="s">
        <v>77</v>
      </c>
      <c r="D4" s="18">
        <v>600</v>
      </c>
      <c r="E4" s="17">
        <f>HEX2DEC(D4)</f>
        <v>1536</v>
      </c>
      <c r="F4" s="19"/>
      <c r="G4" s="17">
        <f>J$2</f>
        <v>-9</v>
      </c>
      <c r="H4" s="17">
        <f>E4</f>
        <v>1536</v>
      </c>
      <c r="I4" s="19"/>
      <c r="J4" s="20">
        <f>H4*(2^G4)</f>
        <v>3</v>
      </c>
      <c r="K4" s="17" t="s">
        <v>9</v>
      </c>
      <c r="L4" s="19"/>
      <c r="M4" s="19"/>
    </row>
    <row r="5" spans="1:13" x14ac:dyDescent="0.25">
      <c r="A5" s="1" t="s">
        <v>13</v>
      </c>
      <c r="B5" s="2">
        <v>22</v>
      </c>
      <c r="C5" s="1" t="s">
        <v>77</v>
      </c>
      <c r="D5" s="2" t="s">
        <v>112</v>
      </c>
      <c r="E5" s="1">
        <f t="shared" ref="E5:E8" si="0">HEX2DEC(D5)</f>
        <v>3072</v>
      </c>
      <c r="F5" s="7"/>
      <c r="G5" s="1">
        <f t="shared" ref="G5:G8" si="1">J$2</f>
        <v>-9</v>
      </c>
      <c r="H5" s="1">
        <f t="shared" ref="H5:H8" si="2">E5</f>
        <v>3072</v>
      </c>
      <c r="I5" s="7"/>
      <c r="J5" s="3">
        <f t="shared" ref="J5:J8" si="3">H5*(2^G5)</f>
        <v>6</v>
      </c>
      <c r="K5" s="1" t="s">
        <v>9</v>
      </c>
      <c r="L5" s="7"/>
      <c r="M5" s="7"/>
    </row>
    <row r="6" spans="1:13" x14ac:dyDescent="0.25">
      <c r="A6" s="1" t="s">
        <v>14</v>
      </c>
      <c r="B6" s="2">
        <v>24</v>
      </c>
      <c r="C6" s="1" t="s">
        <v>77</v>
      </c>
      <c r="D6" s="2" t="s">
        <v>106</v>
      </c>
      <c r="E6" s="1">
        <f t="shared" si="0"/>
        <v>768</v>
      </c>
      <c r="F6" s="7"/>
      <c r="G6" s="1">
        <f t="shared" si="1"/>
        <v>-9</v>
      </c>
      <c r="H6" s="1">
        <f t="shared" si="2"/>
        <v>768</v>
      </c>
      <c r="I6" s="7"/>
      <c r="J6" s="3">
        <f t="shared" si="3"/>
        <v>1.5</v>
      </c>
      <c r="K6" s="1" t="s">
        <v>9</v>
      </c>
      <c r="L6" s="7"/>
      <c r="M6" s="7"/>
    </row>
    <row r="7" spans="1:13" x14ac:dyDescent="0.25">
      <c r="A7" s="1" t="s">
        <v>16</v>
      </c>
      <c r="B7" s="2">
        <v>25</v>
      </c>
      <c r="C7" s="1" t="s">
        <v>77</v>
      </c>
      <c r="D7" s="2" t="s">
        <v>107</v>
      </c>
      <c r="E7" s="1">
        <f t="shared" si="0"/>
        <v>538</v>
      </c>
      <c r="F7" s="7"/>
      <c r="G7" s="1">
        <f t="shared" si="1"/>
        <v>-9</v>
      </c>
      <c r="H7" s="1">
        <f t="shared" si="2"/>
        <v>538</v>
      </c>
      <c r="I7" s="7"/>
      <c r="J7" s="4">
        <f t="shared" si="3"/>
        <v>1.05078125</v>
      </c>
      <c r="K7" s="1" t="str">
        <f>IF(D$3=0,"V","x Vout")</f>
        <v>x Vout</v>
      </c>
      <c r="L7" s="1">
        <f>IF(D$3=1,J7*J$4,J7)</f>
        <v>3.15234375</v>
      </c>
      <c r="M7" s="1" t="s">
        <v>9</v>
      </c>
    </row>
    <row r="8" spans="1:13" x14ac:dyDescent="0.25">
      <c r="A8" s="1" t="s">
        <v>15</v>
      </c>
      <c r="B8" s="2">
        <v>26</v>
      </c>
      <c r="C8" s="1" t="s">
        <v>77</v>
      </c>
      <c r="D8" s="2" t="s">
        <v>108</v>
      </c>
      <c r="E8" s="1">
        <f t="shared" si="0"/>
        <v>486</v>
      </c>
      <c r="F8" s="7"/>
      <c r="G8" s="1">
        <f t="shared" si="1"/>
        <v>-9</v>
      </c>
      <c r="H8" s="1">
        <f t="shared" si="2"/>
        <v>486</v>
      </c>
      <c r="I8" s="7"/>
      <c r="J8" s="4">
        <f t="shared" si="3"/>
        <v>0.94921875</v>
      </c>
      <c r="K8" s="1" t="str">
        <f>IF(D$3=0,"V","x Vout")</f>
        <v>x Vout</v>
      </c>
      <c r="L8" s="1">
        <f>IF(D$3=1,J8*J$4,J8)</f>
        <v>2.84765625</v>
      </c>
      <c r="M8" s="1" t="s">
        <v>9</v>
      </c>
    </row>
    <row r="9" spans="1:13" x14ac:dyDescent="0.25">
      <c r="A9" s="1" t="s">
        <v>17</v>
      </c>
      <c r="B9" s="2">
        <v>27</v>
      </c>
      <c r="C9" s="1" t="s">
        <v>77</v>
      </c>
      <c r="D9" s="2" t="s">
        <v>43</v>
      </c>
      <c r="E9" s="1">
        <f>HEX2DEC(D9)</f>
        <v>57360</v>
      </c>
      <c r="F9" s="1">
        <f>(E9-H9)/2048</f>
        <v>28</v>
      </c>
      <c r="G9" s="1">
        <f>IF(F9&lt;16,F9,-(32-(F9)))</f>
        <v>-4</v>
      </c>
      <c r="H9" s="1">
        <f>MOD(E9,2048)</f>
        <v>16</v>
      </c>
      <c r="I9" s="1">
        <f>IF(H9&lt;1024,H9,-(2048-(H9)))</f>
        <v>16</v>
      </c>
      <c r="J9" s="3">
        <f>I9*(2^G9)</f>
        <v>1</v>
      </c>
      <c r="K9" s="1" t="s">
        <v>20</v>
      </c>
      <c r="L9" s="7"/>
      <c r="M9" s="7"/>
    </row>
    <row r="10" spans="1:13" x14ac:dyDescent="0.25">
      <c r="A10" s="1" t="s">
        <v>18</v>
      </c>
      <c r="B10" s="2">
        <v>29</v>
      </c>
      <c r="C10" s="1" t="s">
        <v>77</v>
      </c>
      <c r="D10" s="2" t="s">
        <v>44</v>
      </c>
      <c r="E10" s="1">
        <f>HEX2DEC(D10)</f>
        <v>51264</v>
      </c>
      <c r="F10" s="1">
        <f>(E10-H10)/2048</f>
        <v>25</v>
      </c>
      <c r="G10" s="1">
        <f>IF(F10&lt;16,F10,-(32-(F10)))</f>
        <v>-7</v>
      </c>
      <c r="H10" s="1">
        <f>MOD(E10,2048)</f>
        <v>64</v>
      </c>
      <c r="I10" s="1">
        <f>IF(H10&lt;1024,H10,-(2048-(H10)))</f>
        <v>64</v>
      </c>
      <c r="J10" s="3">
        <f>I10*(2^G10)</f>
        <v>0.5</v>
      </c>
      <c r="K10" s="1" t="s">
        <v>21</v>
      </c>
      <c r="L10" s="7"/>
      <c r="M10" s="7"/>
    </row>
    <row r="11" spans="1:13" x14ac:dyDescent="0.25">
      <c r="A11" s="1" t="s">
        <v>19</v>
      </c>
      <c r="B11" s="2" t="s">
        <v>72</v>
      </c>
      <c r="C11" s="1" t="s">
        <v>77</v>
      </c>
      <c r="D11" s="2" t="s">
        <v>109</v>
      </c>
      <c r="E11" s="1">
        <f t="shared" ref="E11" si="4">HEX2DEC(D11)</f>
        <v>256</v>
      </c>
      <c r="F11" s="7"/>
      <c r="G11" s="1">
        <f t="shared" ref="G11" si="5">J$2</f>
        <v>-9</v>
      </c>
      <c r="H11" s="1">
        <f t="shared" ref="H11" si="6">E11</f>
        <v>256</v>
      </c>
      <c r="I11" s="7"/>
      <c r="J11" s="3">
        <f t="shared" ref="J11" si="7">H11*(2^G11)</f>
        <v>0.5</v>
      </c>
      <c r="K11" s="1" t="s">
        <v>9</v>
      </c>
      <c r="L11" s="7"/>
      <c r="M11" s="7"/>
    </row>
    <row r="12" spans="1:13" x14ac:dyDescent="0.25">
      <c r="A12" s="1" t="s">
        <v>22</v>
      </c>
      <c r="B12" s="2">
        <v>33</v>
      </c>
      <c r="C12" s="1" t="s">
        <v>77</v>
      </c>
      <c r="D12" s="2" t="s">
        <v>111</v>
      </c>
      <c r="E12" s="1">
        <f>HEX2DEC(D12)</f>
        <v>2598</v>
      </c>
      <c r="F12" s="1">
        <f>(E12-H12)/2048</f>
        <v>1</v>
      </c>
      <c r="G12" s="1">
        <f>IF(F12&lt;16,F12,-(32-(F12)))</f>
        <v>1</v>
      </c>
      <c r="H12" s="1">
        <f>MOD(E12,2048)</f>
        <v>550</v>
      </c>
      <c r="I12" s="1">
        <f>IF(H12&lt;1024,H12,-(2048-(H12)))</f>
        <v>550</v>
      </c>
      <c r="J12" s="3">
        <f>I12*(2^G12)</f>
        <v>1100</v>
      </c>
      <c r="K12" s="1" t="s">
        <v>27</v>
      </c>
      <c r="L12" s="7"/>
      <c r="M12" s="7"/>
    </row>
    <row r="13" spans="1:13" x14ac:dyDescent="0.25">
      <c r="A13" s="1" t="s">
        <v>23</v>
      </c>
      <c r="B13" s="2">
        <v>35</v>
      </c>
      <c r="C13" s="1" t="s">
        <v>77</v>
      </c>
      <c r="D13" s="2" t="s">
        <v>99</v>
      </c>
      <c r="E13" s="1">
        <f t="shared" ref="E13:E16" si="8">HEX2DEC(D13)</f>
        <v>61454</v>
      </c>
      <c r="F13" s="1">
        <f t="shared" ref="F13:F16" si="9">(E13-H13)/2048</f>
        <v>30</v>
      </c>
      <c r="G13" s="1">
        <f t="shared" ref="G13:G16" si="10">IF(F13&lt;16,F13,-(32-(F13)))</f>
        <v>-2</v>
      </c>
      <c r="H13" s="1">
        <f t="shared" ref="H13:H16" si="11">MOD(E13,2048)</f>
        <v>14</v>
      </c>
      <c r="I13" s="1">
        <f t="shared" ref="I13:I16" si="12">IF(H13&lt;1024,H13,-(2048-(H13)))</f>
        <v>14</v>
      </c>
      <c r="J13" s="3">
        <f t="shared" ref="J13:J16" si="13">I13*(2^G13)</f>
        <v>3.5</v>
      </c>
      <c r="K13" s="1" t="s">
        <v>9</v>
      </c>
      <c r="L13" s="7"/>
      <c r="M13" s="7"/>
    </row>
    <row r="14" spans="1:13" x14ac:dyDescent="0.25">
      <c r="A14" s="1" t="s">
        <v>24</v>
      </c>
      <c r="B14" s="2">
        <v>36</v>
      </c>
      <c r="C14" s="1" t="s">
        <v>77</v>
      </c>
      <c r="D14" s="2" t="s">
        <v>100</v>
      </c>
      <c r="E14" s="1">
        <f t="shared" si="8"/>
        <v>61453</v>
      </c>
      <c r="F14" s="1">
        <f t="shared" si="9"/>
        <v>30</v>
      </c>
      <c r="G14" s="1">
        <f t="shared" si="10"/>
        <v>-2</v>
      </c>
      <c r="H14" s="1">
        <f t="shared" si="11"/>
        <v>13</v>
      </c>
      <c r="I14" s="1">
        <f t="shared" si="12"/>
        <v>13</v>
      </c>
      <c r="J14" s="3">
        <f t="shared" si="13"/>
        <v>3.25</v>
      </c>
      <c r="K14" s="1" t="s">
        <v>9</v>
      </c>
      <c r="L14" s="7"/>
      <c r="M14" s="7"/>
    </row>
    <row r="15" spans="1:13" x14ac:dyDescent="0.25">
      <c r="A15" s="1" t="s">
        <v>25</v>
      </c>
      <c r="B15" s="2">
        <v>38</v>
      </c>
      <c r="C15" s="1" t="s">
        <v>77</v>
      </c>
      <c r="D15" s="2" t="s">
        <v>45</v>
      </c>
      <c r="E15" s="1">
        <f t="shared" si="8"/>
        <v>51328</v>
      </c>
      <c r="F15" s="1">
        <f t="shared" si="9"/>
        <v>25</v>
      </c>
      <c r="G15" s="1">
        <f t="shared" si="10"/>
        <v>-7</v>
      </c>
      <c r="H15" s="1">
        <f t="shared" si="11"/>
        <v>128</v>
      </c>
      <c r="I15" s="1">
        <f t="shared" si="12"/>
        <v>128</v>
      </c>
      <c r="J15" s="3">
        <f t="shared" si="13"/>
        <v>1</v>
      </c>
      <c r="K15" s="1" t="s">
        <v>28</v>
      </c>
      <c r="L15" s="7"/>
      <c r="M15" s="7"/>
    </row>
    <row r="16" spans="1:13" x14ac:dyDescent="0.25">
      <c r="A16" s="1" t="s">
        <v>26</v>
      </c>
      <c r="B16" s="2">
        <v>39</v>
      </c>
      <c r="C16" s="1" t="s">
        <v>77</v>
      </c>
      <c r="D16" s="2" t="s">
        <v>101</v>
      </c>
      <c r="E16" s="1">
        <f t="shared" si="8"/>
        <v>55296</v>
      </c>
      <c r="F16" s="1">
        <f t="shared" si="9"/>
        <v>27</v>
      </c>
      <c r="G16" s="1">
        <f t="shared" si="10"/>
        <v>-5</v>
      </c>
      <c r="H16" s="1">
        <f t="shared" si="11"/>
        <v>0</v>
      </c>
      <c r="I16" s="1">
        <f t="shared" si="12"/>
        <v>0</v>
      </c>
      <c r="J16" s="3">
        <f t="shared" si="13"/>
        <v>0</v>
      </c>
      <c r="K16" s="1" t="s">
        <v>11</v>
      </c>
      <c r="L16" s="7"/>
      <c r="M16" s="7"/>
    </row>
    <row r="17" spans="1:13" x14ac:dyDescent="0.25">
      <c r="A17" s="1" t="s">
        <v>29</v>
      </c>
      <c r="B17" s="2">
        <v>40</v>
      </c>
      <c r="C17" s="1" t="s">
        <v>77</v>
      </c>
      <c r="D17" s="2" t="s">
        <v>107</v>
      </c>
      <c r="E17" s="1">
        <f t="shared" ref="E17:E34" si="14">HEX2DEC(D17)</f>
        <v>538</v>
      </c>
      <c r="F17" s="7"/>
      <c r="G17" s="1">
        <f>J$2</f>
        <v>-9</v>
      </c>
      <c r="H17" s="1">
        <f>E17</f>
        <v>538</v>
      </c>
      <c r="I17" s="7"/>
      <c r="J17" s="3">
        <f>H17*(2^G17)</f>
        <v>1.05078125</v>
      </c>
      <c r="K17" s="1" t="str">
        <f>IF(D$3=0,"V","x Vout")</f>
        <v>x Vout</v>
      </c>
      <c r="L17" s="1">
        <f>IF(D$3=1,J17*J$4,J17)</f>
        <v>3.15234375</v>
      </c>
      <c r="M17" s="1" t="s">
        <v>9</v>
      </c>
    </row>
    <row r="18" spans="1:13" x14ac:dyDescent="0.25">
      <c r="A18" s="1" t="s">
        <v>30</v>
      </c>
      <c r="B18" s="2">
        <v>42</v>
      </c>
      <c r="C18" s="1" t="s">
        <v>77</v>
      </c>
      <c r="D18" s="2" t="s">
        <v>107</v>
      </c>
      <c r="E18" s="1">
        <f t="shared" si="14"/>
        <v>538</v>
      </c>
      <c r="F18" s="7"/>
      <c r="G18" s="1">
        <f>J$2</f>
        <v>-9</v>
      </c>
      <c r="H18" s="1">
        <f>E18</f>
        <v>538</v>
      </c>
      <c r="I18" s="7"/>
      <c r="J18" s="3">
        <f>H18*(2^G18)</f>
        <v>1.05078125</v>
      </c>
      <c r="K18" s="1" t="str">
        <f>IF(D$3=0,"V","x Vout")</f>
        <v>x Vout</v>
      </c>
      <c r="L18" s="1">
        <f>IF(D$3=1,J18*J$4,J18)</f>
        <v>3.15234375</v>
      </c>
      <c r="M18" s="1" t="s">
        <v>9</v>
      </c>
    </row>
    <row r="19" spans="1:13" x14ac:dyDescent="0.25">
      <c r="A19" s="1" t="s">
        <v>31</v>
      </c>
      <c r="B19" s="2">
        <v>43</v>
      </c>
      <c r="C19" s="1" t="s">
        <v>77</v>
      </c>
      <c r="D19" s="5" t="s">
        <v>108</v>
      </c>
      <c r="E19" s="1">
        <f t="shared" si="14"/>
        <v>486</v>
      </c>
      <c r="F19" s="7"/>
      <c r="G19" s="1">
        <f>J$2</f>
        <v>-9</v>
      </c>
      <c r="H19" s="1">
        <f>E19</f>
        <v>486</v>
      </c>
      <c r="I19" s="7"/>
      <c r="J19" s="3">
        <f>H19*(2^G19)</f>
        <v>0.94921875</v>
      </c>
      <c r="K19" s="1" t="str">
        <f>IF(D$3=0,"V","x Vout")</f>
        <v>x Vout</v>
      </c>
      <c r="L19" s="1">
        <f>IF(D$3=1,J19*J$4,J19)</f>
        <v>2.84765625</v>
      </c>
      <c r="M19" s="1" t="s">
        <v>9</v>
      </c>
    </row>
    <row r="20" spans="1:13" x14ac:dyDescent="0.25">
      <c r="A20" s="1" t="s">
        <v>32</v>
      </c>
      <c r="B20" s="2">
        <v>44</v>
      </c>
      <c r="C20" s="1" t="s">
        <v>77</v>
      </c>
      <c r="D20" s="2" t="s">
        <v>108</v>
      </c>
      <c r="E20" s="1">
        <f t="shared" si="14"/>
        <v>486</v>
      </c>
      <c r="F20" s="7"/>
      <c r="G20" s="1">
        <f>J$2</f>
        <v>-9</v>
      </c>
      <c r="H20" s="1">
        <f>E20</f>
        <v>486</v>
      </c>
      <c r="I20" s="7"/>
      <c r="J20" s="3">
        <f>H20*(2^G20)</f>
        <v>0.94921875</v>
      </c>
      <c r="K20" s="1" t="str">
        <f>IF(D$3=0,"V","x Vout")</f>
        <v>x Vout</v>
      </c>
      <c r="L20" s="1">
        <f>IF(D$3=1,J20*J$4,J20)</f>
        <v>2.84765625</v>
      </c>
      <c r="M20" s="1" t="s">
        <v>9</v>
      </c>
    </row>
    <row r="21" spans="1:13" x14ac:dyDescent="0.25">
      <c r="A21" s="1" t="s">
        <v>12</v>
      </c>
      <c r="B21" s="2">
        <v>46</v>
      </c>
      <c r="C21" s="1" t="s">
        <v>77</v>
      </c>
      <c r="D21" s="2" t="s">
        <v>102</v>
      </c>
      <c r="E21" s="1">
        <f t="shared" si="14"/>
        <v>61688</v>
      </c>
      <c r="F21" s="1">
        <f t="shared" ref="F21:F29" si="15">(E21-H21)/2048</f>
        <v>30</v>
      </c>
      <c r="G21" s="1">
        <f t="shared" ref="G21:G29" si="16">IF(F21&lt;16,F21,-(32-(F21)))</f>
        <v>-2</v>
      </c>
      <c r="H21" s="1">
        <f t="shared" ref="H21:H29" si="17">MOD(E21,2048)</f>
        <v>248</v>
      </c>
      <c r="I21" s="1">
        <f t="shared" ref="I21:I29" si="18">IF(H21&lt;1024,H21,-(2048-(H21)))</f>
        <v>248</v>
      </c>
      <c r="J21" s="3">
        <f t="shared" ref="J21:J29" si="19">I21*(2^G21)</f>
        <v>62</v>
      </c>
      <c r="K21" s="1" t="s">
        <v>11</v>
      </c>
      <c r="L21" s="7"/>
      <c r="M21" s="7"/>
    </row>
    <row r="22" spans="1:13" x14ac:dyDescent="0.25">
      <c r="A22" s="1" t="s">
        <v>33</v>
      </c>
      <c r="B22" s="2" t="s">
        <v>73</v>
      </c>
      <c r="C22" s="1" t="s">
        <v>77</v>
      </c>
      <c r="D22" s="2" t="s">
        <v>10</v>
      </c>
      <c r="E22" s="1">
        <f t="shared" si="14"/>
        <v>61648</v>
      </c>
      <c r="F22" s="1">
        <f t="shared" si="15"/>
        <v>30</v>
      </c>
      <c r="G22" s="1">
        <f t="shared" si="16"/>
        <v>-2</v>
      </c>
      <c r="H22" s="1">
        <f t="shared" si="17"/>
        <v>208</v>
      </c>
      <c r="I22" s="1">
        <f t="shared" si="18"/>
        <v>208</v>
      </c>
      <c r="J22" s="3">
        <f t="shared" si="19"/>
        <v>52</v>
      </c>
      <c r="K22" s="1" t="s">
        <v>11</v>
      </c>
      <c r="L22" s="7"/>
      <c r="M22" s="7"/>
    </row>
    <row r="23" spans="1:13" x14ac:dyDescent="0.25">
      <c r="A23" s="1" t="s">
        <v>34</v>
      </c>
      <c r="B23" s="2" t="s">
        <v>74</v>
      </c>
      <c r="C23" s="1" t="s">
        <v>77</v>
      </c>
      <c r="D23" s="2" t="s">
        <v>103</v>
      </c>
      <c r="E23" s="1">
        <f t="shared" si="14"/>
        <v>150</v>
      </c>
      <c r="F23" s="1">
        <f t="shared" si="15"/>
        <v>0</v>
      </c>
      <c r="G23" s="1">
        <f t="shared" si="16"/>
        <v>0</v>
      </c>
      <c r="H23" s="1">
        <f t="shared" si="17"/>
        <v>150</v>
      </c>
      <c r="I23" s="1">
        <f t="shared" si="18"/>
        <v>150</v>
      </c>
      <c r="J23" s="3">
        <f t="shared" si="19"/>
        <v>150</v>
      </c>
      <c r="K23" s="1" t="s">
        <v>42</v>
      </c>
      <c r="L23" s="7"/>
      <c r="M23" s="7"/>
    </row>
    <row r="24" spans="1:13" x14ac:dyDescent="0.25">
      <c r="A24" s="1" t="s">
        <v>35</v>
      </c>
      <c r="B24" s="2">
        <v>51</v>
      </c>
      <c r="C24" s="1" t="s">
        <v>77</v>
      </c>
      <c r="D24" s="2" t="s">
        <v>93</v>
      </c>
      <c r="E24" s="1">
        <f t="shared" si="14"/>
        <v>125</v>
      </c>
      <c r="F24" s="1">
        <f t="shared" si="15"/>
        <v>0</v>
      </c>
      <c r="G24" s="1">
        <f t="shared" si="16"/>
        <v>0</v>
      </c>
      <c r="H24" s="1">
        <f t="shared" si="17"/>
        <v>125</v>
      </c>
      <c r="I24" s="1">
        <f t="shared" si="18"/>
        <v>125</v>
      </c>
      <c r="J24" s="3">
        <f t="shared" si="19"/>
        <v>125</v>
      </c>
      <c r="K24" s="1" t="s">
        <v>42</v>
      </c>
      <c r="L24" s="7"/>
      <c r="M24" s="7"/>
    </row>
    <row r="25" spans="1:13" x14ac:dyDescent="0.25">
      <c r="A25" s="1" t="s">
        <v>36</v>
      </c>
      <c r="B25" s="2">
        <v>60</v>
      </c>
      <c r="C25" s="1" t="s">
        <v>77</v>
      </c>
      <c r="D25" s="2" t="s">
        <v>46</v>
      </c>
      <c r="E25" s="1">
        <f t="shared" si="14"/>
        <v>63488</v>
      </c>
      <c r="F25" s="1">
        <f t="shared" si="15"/>
        <v>31</v>
      </c>
      <c r="G25" s="1">
        <f t="shared" si="16"/>
        <v>-1</v>
      </c>
      <c r="H25" s="1">
        <f t="shared" si="17"/>
        <v>0</v>
      </c>
      <c r="I25" s="1">
        <f t="shared" si="18"/>
        <v>0</v>
      </c>
      <c r="J25" s="3">
        <f t="shared" si="19"/>
        <v>0</v>
      </c>
      <c r="K25" s="1" t="s">
        <v>41</v>
      </c>
      <c r="L25" s="7"/>
      <c r="M25" s="7"/>
    </row>
    <row r="26" spans="1:13" x14ac:dyDescent="0.25">
      <c r="A26" s="1" t="s">
        <v>37</v>
      </c>
      <c r="B26" s="2">
        <v>61</v>
      </c>
      <c r="C26" s="1" t="s">
        <v>77</v>
      </c>
      <c r="D26" s="2" t="s">
        <v>47</v>
      </c>
      <c r="E26" s="1">
        <f t="shared" si="14"/>
        <v>61452</v>
      </c>
      <c r="F26" s="1">
        <f t="shared" si="15"/>
        <v>30</v>
      </c>
      <c r="G26" s="1">
        <f t="shared" si="16"/>
        <v>-2</v>
      </c>
      <c r="H26" s="1">
        <f t="shared" si="17"/>
        <v>12</v>
      </c>
      <c r="I26" s="1">
        <f t="shared" si="18"/>
        <v>12</v>
      </c>
      <c r="J26" s="3">
        <f t="shared" si="19"/>
        <v>3</v>
      </c>
      <c r="K26" s="1" t="s">
        <v>41</v>
      </c>
      <c r="L26" s="7"/>
      <c r="M26" s="7"/>
    </row>
    <row r="27" spans="1:13" x14ac:dyDescent="0.25">
      <c r="A27" s="1" t="s">
        <v>38</v>
      </c>
      <c r="B27" s="2">
        <v>62</v>
      </c>
      <c r="C27" s="1" t="s">
        <v>77</v>
      </c>
      <c r="D27" s="2" t="s">
        <v>46</v>
      </c>
      <c r="E27" s="1">
        <f t="shared" si="14"/>
        <v>63488</v>
      </c>
      <c r="F27" s="1">
        <f t="shared" si="15"/>
        <v>31</v>
      </c>
      <c r="G27" s="1">
        <f t="shared" si="16"/>
        <v>-1</v>
      </c>
      <c r="H27" s="1">
        <f t="shared" si="17"/>
        <v>0</v>
      </c>
      <c r="I27" s="1">
        <f t="shared" si="18"/>
        <v>0</v>
      </c>
      <c r="J27" s="3">
        <f t="shared" si="19"/>
        <v>0</v>
      </c>
      <c r="K27" s="1" t="s">
        <v>41</v>
      </c>
      <c r="L27" s="7"/>
      <c r="M27" s="7"/>
    </row>
    <row r="28" spans="1:13" x14ac:dyDescent="0.25">
      <c r="A28" s="1" t="s">
        <v>39</v>
      </c>
      <c r="B28" s="2">
        <v>64</v>
      </c>
      <c r="C28" s="1" t="s">
        <v>77</v>
      </c>
      <c r="D28" s="2" t="s">
        <v>104</v>
      </c>
      <c r="E28" s="1">
        <f t="shared" si="14"/>
        <v>61440</v>
      </c>
      <c r="F28" s="1">
        <f t="shared" si="15"/>
        <v>30</v>
      </c>
      <c r="G28" s="1">
        <f t="shared" si="16"/>
        <v>-2</v>
      </c>
      <c r="H28" s="1">
        <f t="shared" si="17"/>
        <v>0</v>
      </c>
      <c r="I28" s="1">
        <f t="shared" si="18"/>
        <v>0</v>
      </c>
      <c r="J28" s="3">
        <f t="shared" si="19"/>
        <v>0</v>
      </c>
      <c r="K28" s="1" t="s">
        <v>41</v>
      </c>
      <c r="L28" s="7"/>
      <c r="M28" s="7"/>
    </row>
    <row r="29" spans="1:13" x14ac:dyDescent="0.25">
      <c r="A29" s="1" t="s">
        <v>40</v>
      </c>
      <c r="B29" s="2">
        <v>65</v>
      </c>
      <c r="C29" s="1" t="s">
        <v>77</v>
      </c>
      <c r="D29" s="2" t="s">
        <v>105</v>
      </c>
      <c r="E29" s="1">
        <f t="shared" si="14"/>
        <v>63494</v>
      </c>
      <c r="F29" s="1">
        <f t="shared" si="15"/>
        <v>31</v>
      </c>
      <c r="G29" s="1">
        <f t="shared" si="16"/>
        <v>-1</v>
      </c>
      <c r="H29" s="1">
        <f t="shared" si="17"/>
        <v>6</v>
      </c>
      <c r="I29" s="1">
        <f t="shared" si="18"/>
        <v>6</v>
      </c>
      <c r="J29" s="3">
        <f t="shared" si="19"/>
        <v>3</v>
      </c>
      <c r="K29" s="1" t="s">
        <v>41</v>
      </c>
      <c r="L29" s="7"/>
      <c r="M29" s="7"/>
    </row>
    <row r="30" spans="1:13" x14ac:dyDescent="0.25">
      <c r="A30" s="6" t="s">
        <v>110</v>
      </c>
      <c r="B30" s="11" t="s">
        <v>96</v>
      </c>
      <c r="C30" s="6" t="s">
        <v>75</v>
      </c>
      <c r="D30" s="6" t="s">
        <v>52</v>
      </c>
      <c r="E30" s="6" t="s">
        <v>1</v>
      </c>
      <c r="F30" s="6" t="s">
        <v>2</v>
      </c>
      <c r="G30" s="6" t="s">
        <v>3</v>
      </c>
      <c r="H30" s="6" t="s">
        <v>4</v>
      </c>
      <c r="I30" s="6" t="s">
        <v>5</v>
      </c>
      <c r="J30" s="6" t="s">
        <v>6</v>
      </c>
      <c r="K30" s="6" t="s">
        <v>7</v>
      </c>
      <c r="L30" s="6"/>
      <c r="M30" s="6"/>
    </row>
    <row r="31" spans="1:13" x14ac:dyDescent="0.25">
      <c r="A31" s="1" t="s">
        <v>124</v>
      </c>
      <c r="B31" s="2">
        <v>88</v>
      </c>
      <c r="C31" s="1" t="s">
        <v>77</v>
      </c>
      <c r="D31" s="2" t="s">
        <v>125</v>
      </c>
      <c r="E31" s="1">
        <f t="shared" ref="E31" si="20">HEX2DEC(D31)</f>
        <v>53896</v>
      </c>
      <c r="F31" s="1">
        <f>(E31-H31)/2048</f>
        <v>26</v>
      </c>
      <c r="G31" s="1">
        <f>IF(F31&lt;16,F31,-(32-(F31)))</f>
        <v>-6</v>
      </c>
      <c r="H31" s="1">
        <f>MOD(E31,2048)</f>
        <v>648</v>
      </c>
      <c r="I31" s="1">
        <f>IF(H31&lt;1024,H31,-(2048-(H31)))</f>
        <v>648</v>
      </c>
      <c r="J31" s="3">
        <f>I31*(2^G31)</f>
        <v>10.125</v>
      </c>
      <c r="K31" s="1" t="s">
        <v>11</v>
      </c>
      <c r="L31" s="7"/>
      <c r="M31" s="7"/>
    </row>
    <row r="32" spans="1:13" x14ac:dyDescent="0.25">
      <c r="A32" s="1" t="s">
        <v>48</v>
      </c>
      <c r="B32" s="2" t="s">
        <v>78</v>
      </c>
      <c r="C32" s="1" t="s">
        <v>77</v>
      </c>
      <c r="D32" s="2" t="s">
        <v>126</v>
      </c>
      <c r="E32" s="1">
        <f t="shared" si="14"/>
        <v>433</v>
      </c>
      <c r="F32" s="7"/>
      <c r="G32" s="1">
        <f>J$2</f>
        <v>-9</v>
      </c>
      <c r="H32" s="1">
        <f>E32</f>
        <v>433</v>
      </c>
      <c r="I32" s="7"/>
      <c r="J32" s="3">
        <f>H32*(2^G32)</f>
        <v>0.845703125</v>
      </c>
      <c r="K32" s="1" t="s">
        <v>9</v>
      </c>
      <c r="L32" s="7"/>
      <c r="M32" s="7"/>
    </row>
    <row r="33" spans="1:13" x14ac:dyDescent="0.25">
      <c r="A33" s="1" t="s">
        <v>49</v>
      </c>
      <c r="B33" s="2" t="s">
        <v>79</v>
      </c>
      <c r="C33" s="1" t="s">
        <v>77</v>
      </c>
      <c r="D33" s="2" t="s">
        <v>127</v>
      </c>
      <c r="E33" s="1">
        <f t="shared" si="14"/>
        <v>41623</v>
      </c>
      <c r="F33" s="1">
        <f>(E33-H33)/2048</f>
        <v>20</v>
      </c>
      <c r="G33" s="1">
        <f>IF(F33&lt;16,F33,-(32-(F33)))</f>
        <v>-12</v>
      </c>
      <c r="H33" s="1">
        <f>MOD(E33,2048)</f>
        <v>663</v>
      </c>
      <c r="I33" s="1">
        <f>IF(H33&lt;1024,H33,-(2048-(H33)))</f>
        <v>663</v>
      </c>
      <c r="J33" s="3">
        <f>I33*(2^G33)</f>
        <v>0.161865234375</v>
      </c>
      <c r="K33" s="1" t="s">
        <v>11</v>
      </c>
      <c r="L33" s="7"/>
      <c r="M33" s="7"/>
    </row>
    <row r="34" spans="1:13" x14ac:dyDescent="0.25">
      <c r="A34" s="1" t="s">
        <v>50</v>
      </c>
      <c r="B34" s="2" t="s">
        <v>80</v>
      </c>
      <c r="C34" s="1" t="s">
        <v>77</v>
      </c>
      <c r="D34" s="2">
        <v>23</v>
      </c>
      <c r="E34" s="1">
        <f t="shared" si="14"/>
        <v>35</v>
      </c>
      <c r="F34" s="1">
        <f>(E34-H34)/2048</f>
        <v>0</v>
      </c>
      <c r="G34" s="1">
        <f>IF(F34&lt;16,F34,-(32-(F34)))</f>
        <v>0</v>
      </c>
      <c r="H34" s="1">
        <f>MOD(E34,2048)</f>
        <v>35</v>
      </c>
      <c r="I34" s="1">
        <f>IF(H34&lt;1024,H34,-(2048-(H34)))</f>
        <v>35</v>
      </c>
      <c r="J34" s="3">
        <f>I34*(2^G34)</f>
        <v>35</v>
      </c>
      <c r="K34" s="1" t="s">
        <v>42</v>
      </c>
      <c r="L34" s="7"/>
      <c r="M34" s="7"/>
    </row>
    <row r="35" spans="1:13" x14ac:dyDescent="0.25">
      <c r="A35" s="8" t="s">
        <v>97</v>
      </c>
      <c r="B35" s="12" t="s">
        <v>96</v>
      </c>
      <c r="C35" s="12" t="s">
        <v>75</v>
      </c>
      <c r="D35" s="12" t="s">
        <v>56</v>
      </c>
      <c r="E35" s="12">
        <v>7</v>
      </c>
      <c r="F35" s="12">
        <v>6</v>
      </c>
      <c r="G35" s="12">
        <v>5</v>
      </c>
      <c r="H35" s="12">
        <v>4</v>
      </c>
      <c r="I35" s="12">
        <v>3</v>
      </c>
      <c r="J35" s="12">
        <v>2</v>
      </c>
      <c r="K35" s="12">
        <v>1</v>
      </c>
      <c r="L35" s="12">
        <v>0</v>
      </c>
      <c r="M35" s="12"/>
    </row>
    <row r="36" spans="1:13" x14ac:dyDescent="0.25">
      <c r="A36" s="14" t="s">
        <v>81</v>
      </c>
      <c r="B36" s="2">
        <v>78</v>
      </c>
      <c r="C36" s="1" t="s">
        <v>76</v>
      </c>
      <c r="D36" s="2">
        <v>0</v>
      </c>
      <c r="E36" s="2">
        <f>IF((HEX2DEC(D36))&gt;127.5,1,0)</f>
        <v>0</v>
      </c>
      <c r="F36" s="2">
        <f>IF((HEX2DEC(D36)-128*E36)&gt;63.5,1,0)</f>
        <v>0</v>
      </c>
      <c r="G36" s="2">
        <f>IF((HEX2DEC(D36)-128*E36-64*F36)&gt;31.5,1,0)</f>
        <v>0</v>
      </c>
      <c r="H36" s="2">
        <f>IF((HEX2DEC(D36)-128*E36-64*F36-32*G36)&gt;15.5,1,0)</f>
        <v>0</v>
      </c>
      <c r="I36" s="2">
        <f>IF((HEX2DEC(D36)-128*E36-64*F36-32*G36-16*H36)&gt;7.5,1,0)</f>
        <v>0</v>
      </c>
      <c r="J36" s="2">
        <f>IF((HEX2DEC(D36)-128*E36-64*F36-32*G36-16*H36-8*I36)&gt;3.5,1,0)</f>
        <v>0</v>
      </c>
      <c r="K36" s="2">
        <f>IF((HEX2DEC(D36)-128*E36-64*F36-32*G36-16*H36-8*I36-4*J36)&gt;1.5,1,0)</f>
        <v>0</v>
      </c>
      <c r="L36" s="2">
        <f>IF((HEX2DEC(D36)-128*E36-64*F36-32*G36-16*H36-8*I36-4*J36-2*K36)&gt;0.5,1,0)</f>
        <v>0</v>
      </c>
      <c r="M36" s="16"/>
    </row>
    <row r="37" spans="1:13" x14ac:dyDescent="0.25">
      <c r="A37" s="14" t="s">
        <v>82</v>
      </c>
      <c r="B37" s="2">
        <v>79</v>
      </c>
      <c r="C37" s="1" t="s">
        <v>77</v>
      </c>
      <c r="D37" s="2">
        <v>0</v>
      </c>
      <c r="E37" s="2">
        <f>IF(((HEX2DEC(D37)-MOD(HEX2DEC(D37),256))/256)&gt;127.5,1,0)</f>
        <v>0</v>
      </c>
      <c r="F37" s="2">
        <f>IF((((HEX2DEC(D37)-MOD(HEX2DEC(D37),256))/256)-128*E37)&gt;63.5,1,0)</f>
        <v>0</v>
      </c>
      <c r="G37" s="2">
        <f>IF((((HEX2DEC(D37)-MOD(HEX2DEC(D37),256))/256)-128*E37-64*F37)&gt;31.5,1,0)</f>
        <v>0</v>
      </c>
      <c r="H37" s="2">
        <f>IF((((HEX2DEC(D37)-MOD(HEX2DEC(D37),256))/256)-128*E37-64*F37-32*G37)&gt;15.5,1,0)</f>
        <v>0</v>
      </c>
      <c r="I37" s="2">
        <f>IF((((HEX2DEC(D37)-MOD(HEX2DEC(D37),256))/256)-128*E37-64*F37-32*G37-16*H37)&gt;7.5,1,0)</f>
        <v>0</v>
      </c>
      <c r="J37" s="2">
        <f>IF((((HEX2DEC(D37)-MOD(HEX2DEC(D37),256))/256)-128*E37-64*F37-32*G37-16*H37-8*I37)&gt;3.5,1,0)</f>
        <v>0</v>
      </c>
      <c r="K37" s="2">
        <f>IF((((HEX2DEC(D37)-MOD(HEX2DEC(D37),256))/256)-128*E37-64*F37-32*G37-16*H37-8*I37-4*J37)&gt;1.5,1,0)</f>
        <v>0</v>
      </c>
      <c r="L37" s="2">
        <f>IF((((HEX2DEC(D37)-MOD(HEX2DEC(D37),256))/256)-128*E37-64*F37-32*G37-16*H37-8*I37-4*J37-2*K37)&gt;0.5,1,0)</f>
        <v>0</v>
      </c>
      <c r="M37" s="2" t="s">
        <v>98</v>
      </c>
    </row>
    <row r="38" spans="1:13" x14ac:dyDescent="0.25">
      <c r="A38" s="14" t="s">
        <v>83</v>
      </c>
      <c r="B38" s="2" t="s">
        <v>90</v>
      </c>
      <c r="C38" s="1" t="s">
        <v>76</v>
      </c>
      <c r="D38" s="2">
        <v>0</v>
      </c>
      <c r="E38" s="2">
        <f t="shared" ref="E38:E44" si="21">IF((HEX2DEC(D38))&gt;127.5,1,0)</f>
        <v>0</v>
      </c>
      <c r="F38" s="2">
        <f t="shared" ref="F38:F44" si="22">IF((HEX2DEC(D38)-128*E38)&gt;63.5,1,0)</f>
        <v>0</v>
      </c>
      <c r="G38" s="2">
        <f t="shared" ref="G38:G44" si="23">IF((HEX2DEC(D38)-128*E38-64*F38)&gt;31.5,1,0)</f>
        <v>0</v>
      </c>
      <c r="H38" s="2">
        <f t="shared" ref="H38:H44" si="24">IF((HEX2DEC(D38)-128*E38-64*F38-32*G38)&gt;15.5,1,0)</f>
        <v>0</v>
      </c>
      <c r="I38" s="2">
        <f t="shared" ref="I38:I44" si="25">IF((HEX2DEC(D38)-128*E38-64*F38-32*G38-16*H38)&gt;7.5,1,0)</f>
        <v>0</v>
      </c>
      <c r="J38" s="2">
        <f t="shared" ref="J38:J44" si="26">IF((HEX2DEC(D38)-128*E38-64*F38-32*G38-16*H38-8*I38)&gt;3.5,1,0)</f>
        <v>0</v>
      </c>
      <c r="K38" s="2">
        <f t="shared" ref="K38:K44" si="27">IF((HEX2DEC(D38)-128*E38-64*F38-32*G38-16*H38-8*I38-4*J38)&gt;1.5,1,0)</f>
        <v>0</v>
      </c>
      <c r="L38" s="2">
        <f t="shared" ref="L38:L44" si="28">IF((HEX2DEC(D38)-128*E38-64*F38-32*G38-16*H38-8*I38-4*J38-2*K38)&gt;0.5,1,0)</f>
        <v>0</v>
      </c>
      <c r="M38" s="16"/>
    </row>
    <row r="39" spans="1:13" x14ac:dyDescent="0.25">
      <c r="A39" s="14" t="s">
        <v>84</v>
      </c>
      <c r="B39" s="2" t="s">
        <v>91</v>
      </c>
      <c r="C39" s="1" t="s">
        <v>76</v>
      </c>
      <c r="D39" s="2">
        <v>0</v>
      </c>
      <c r="E39" s="2">
        <f t="shared" si="21"/>
        <v>0</v>
      </c>
      <c r="F39" s="2">
        <f t="shared" si="22"/>
        <v>0</v>
      </c>
      <c r="G39" s="2">
        <f t="shared" si="23"/>
        <v>0</v>
      </c>
      <c r="H39" s="2">
        <f t="shared" si="24"/>
        <v>0</v>
      </c>
      <c r="I39" s="2">
        <f t="shared" si="25"/>
        <v>0</v>
      </c>
      <c r="J39" s="2">
        <f t="shared" si="26"/>
        <v>0</v>
      </c>
      <c r="K39" s="2">
        <f t="shared" si="27"/>
        <v>0</v>
      </c>
      <c r="L39" s="2">
        <f t="shared" si="28"/>
        <v>0</v>
      </c>
      <c r="M39" s="16"/>
    </row>
    <row r="40" spans="1:13" x14ac:dyDescent="0.25">
      <c r="A40" s="14" t="s">
        <v>85</v>
      </c>
      <c r="B40" s="2" t="s">
        <v>92</v>
      </c>
      <c r="C40" s="1" t="s">
        <v>76</v>
      </c>
      <c r="D40" s="2">
        <v>0</v>
      </c>
      <c r="E40" s="2">
        <f t="shared" si="21"/>
        <v>0</v>
      </c>
      <c r="F40" s="2">
        <f t="shared" si="22"/>
        <v>0</v>
      </c>
      <c r="G40" s="2">
        <f t="shared" si="23"/>
        <v>0</v>
      </c>
      <c r="H40" s="2">
        <f t="shared" si="24"/>
        <v>0</v>
      </c>
      <c r="I40" s="2">
        <f t="shared" si="25"/>
        <v>0</v>
      </c>
      <c r="J40" s="2">
        <f t="shared" si="26"/>
        <v>0</v>
      </c>
      <c r="K40" s="2">
        <f t="shared" si="27"/>
        <v>0</v>
      </c>
      <c r="L40" s="2">
        <f t="shared" si="28"/>
        <v>0</v>
      </c>
      <c r="M40" s="16"/>
    </row>
    <row r="41" spans="1:13" x14ac:dyDescent="0.25">
      <c r="A41" s="14" t="s">
        <v>86</v>
      </c>
      <c r="B41" s="2" t="s">
        <v>93</v>
      </c>
      <c r="C41" s="1" t="s">
        <v>76</v>
      </c>
      <c r="D41" s="2">
        <v>0</v>
      </c>
      <c r="E41" s="2">
        <f t="shared" si="21"/>
        <v>0</v>
      </c>
      <c r="F41" s="2">
        <f t="shared" si="22"/>
        <v>0</v>
      </c>
      <c r="G41" s="2">
        <f t="shared" si="23"/>
        <v>0</v>
      </c>
      <c r="H41" s="2">
        <f t="shared" si="24"/>
        <v>0</v>
      </c>
      <c r="I41" s="2">
        <f t="shared" si="25"/>
        <v>0</v>
      </c>
      <c r="J41" s="2">
        <f t="shared" si="26"/>
        <v>0</v>
      </c>
      <c r="K41" s="2">
        <f t="shared" si="27"/>
        <v>0</v>
      </c>
      <c r="L41" s="2">
        <f t="shared" si="28"/>
        <v>0</v>
      </c>
      <c r="M41" s="16"/>
    </row>
    <row r="42" spans="1:13" x14ac:dyDescent="0.25">
      <c r="A42" s="14" t="s">
        <v>87</v>
      </c>
      <c r="B42" s="2" t="s">
        <v>94</v>
      </c>
      <c r="C42" s="1" t="s">
        <v>76</v>
      </c>
      <c r="D42" s="2">
        <v>0</v>
      </c>
      <c r="E42" s="2">
        <f t="shared" si="21"/>
        <v>0</v>
      </c>
      <c r="F42" s="2">
        <f t="shared" si="22"/>
        <v>0</v>
      </c>
      <c r="G42" s="2">
        <f t="shared" si="23"/>
        <v>0</v>
      </c>
      <c r="H42" s="2">
        <f t="shared" si="24"/>
        <v>0</v>
      </c>
      <c r="I42" s="2">
        <f t="shared" si="25"/>
        <v>0</v>
      </c>
      <c r="J42" s="2">
        <f t="shared" si="26"/>
        <v>0</v>
      </c>
      <c r="K42" s="2">
        <f t="shared" si="27"/>
        <v>0</v>
      </c>
      <c r="L42" s="2">
        <f t="shared" si="28"/>
        <v>0</v>
      </c>
      <c r="M42" s="16"/>
    </row>
    <row r="43" spans="1:13" x14ac:dyDescent="0.25">
      <c r="A43" s="14" t="s">
        <v>88</v>
      </c>
      <c r="B43" s="2" t="s">
        <v>95</v>
      </c>
      <c r="C43" s="1" t="s">
        <v>76</v>
      </c>
      <c r="D43" s="2">
        <v>0</v>
      </c>
      <c r="E43" s="2">
        <f t="shared" si="21"/>
        <v>0</v>
      </c>
      <c r="F43" s="2">
        <f t="shared" si="22"/>
        <v>0</v>
      </c>
      <c r="G43" s="2">
        <f t="shared" si="23"/>
        <v>0</v>
      </c>
      <c r="H43" s="2">
        <f t="shared" si="24"/>
        <v>0</v>
      </c>
      <c r="I43" s="2">
        <f t="shared" si="25"/>
        <v>0</v>
      </c>
      <c r="J43" s="2">
        <f t="shared" si="26"/>
        <v>0</v>
      </c>
      <c r="K43" s="2">
        <f t="shared" si="27"/>
        <v>0</v>
      </c>
      <c r="L43" s="2">
        <f t="shared" si="28"/>
        <v>0</v>
      </c>
      <c r="M43" s="16"/>
    </row>
    <row r="44" spans="1:13" x14ac:dyDescent="0.25">
      <c r="A44" s="14" t="s">
        <v>89</v>
      </c>
      <c r="B44" s="2">
        <v>80</v>
      </c>
      <c r="C44" s="1" t="s">
        <v>76</v>
      </c>
      <c r="D44" s="2">
        <v>0</v>
      </c>
      <c r="E44" s="2">
        <f t="shared" si="21"/>
        <v>0</v>
      </c>
      <c r="F44" s="2">
        <f t="shared" si="22"/>
        <v>0</v>
      </c>
      <c r="G44" s="2">
        <f t="shared" si="23"/>
        <v>0</v>
      </c>
      <c r="H44" s="2">
        <f t="shared" si="24"/>
        <v>0</v>
      </c>
      <c r="I44" s="2">
        <f t="shared" si="25"/>
        <v>0</v>
      </c>
      <c r="J44" s="2">
        <f t="shared" si="26"/>
        <v>0</v>
      </c>
      <c r="K44" s="2">
        <f t="shared" si="27"/>
        <v>0</v>
      </c>
      <c r="L44" s="2">
        <f t="shared" si="28"/>
        <v>0</v>
      </c>
      <c r="M44" s="16"/>
    </row>
    <row r="46" spans="1:13" x14ac:dyDescent="0.25">
      <c r="E46" s="15"/>
      <c r="F46" s="15"/>
      <c r="G46" s="15"/>
      <c r="H46" s="15"/>
    </row>
  </sheetData>
  <conditionalFormatting sqref="E36:L44">
    <cfRule type="cellIs" dxfId="6" priority="1" operator="lessThan">
      <formula>0.5</formula>
    </cfRule>
    <cfRule type="cellIs" dxfId="5" priority="2" operator="greaterThan">
      <formula>0.5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workbookViewId="0">
      <selection activeCell="D3" sqref="D3"/>
    </sheetView>
  </sheetViews>
  <sheetFormatPr defaultRowHeight="15" x14ac:dyDescent="0.25"/>
  <cols>
    <col min="1" max="1" width="24.7109375" bestFit="1" customWidth="1"/>
    <col min="2" max="2" width="20.5703125" bestFit="1" customWidth="1"/>
    <col min="3" max="3" width="12.7109375" bestFit="1" customWidth="1"/>
    <col min="4" max="4" width="15.42578125" bestFit="1" customWidth="1"/>
    <col min="7" max="7" width="11.140625" bestFit="1" customWidth="1"/>
    <col min="8" max="8" width="15.7109375" bestFit="1" customWidth="1"/>
  </cols>
  <sheetData>
    <row r="1" spans="1:10" x14ac:dyDescent="0.25">
      <c r="A1" s="6" t="s">
        <v>53</v>
      </c>
      <c r="B1" s="11" t="s">
        <v>68</v>
      </c>
      <c r="C1" s="11" t="s">
        <v>69</v>
      </c>
      <c r="D1" s="6" t="s">
        <v>52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</row>
    <row r="2" spans="1:10" x14ac:dyDescent="0.25">
      <c r="A2" s="1" t="s">
        <v>0</v>
      </c>
      <c r="B2" s="2">
        <v>20</v>
      </c>
      <c r="C2" s="2" t="s">
        <v>70</v>
      </c>
      <c r="D2" s="2">
        <v>97</v>
      </c>
      <c r="E2" s="1">
        <f>HEX2DEC(D2)</f>
        <v>151</v>
      </c>
      <c r="F2" s="1">
        <f>MOD(E2,32)</f>
        <v>23</v>
      </c>
      <c r="G2" s="1">
        <f>IF(F2&lt;16,F2,-(32-(F2)))</f>
        <v>-9</v>
      </c>
      <c r="H2" s="7"/>
      <c r="I2" s="7"/>
      <c r="J2" s="1">
        <f>G2</f>
        <v>-9</v>
      </c>
    </row>
    <row r="3" spans="1:10" x14ac:dyDescent="0.25">
      <c r="A3" s="1" t="s">
        <v>51</v>
      </c>
      <c r="B3" s="2"/>
      <c r="C3" s="2"/>
      <c r="D3" s="2">
        <f>IF(HEX2DEC(D2)&gt;127,1,0)</f>
        <v>1</v>
      </c>
      <c r="E3" s="7"/>
      <c r="F3" s="7"/>
      <c r="G3" s="7"/>
      <c r="H3" s="7"/>
      <c r="I3" s="7"/>
      <c r="J3" s="7"/>
    </row>
    <row r="4" spans="1:10" x14ac:dyDescent="0.25">
      <c r="A4" s="8" t="s">
        <v>53</v>
      </c>
      <c r="B4" s="11" t="s">
        <v>68</v>
      </c>
      <c r="C4" s="13"/>
      <c r="D4" s="8" t="s">
        <v>57</v>
      </c>
      <c r="E4" s="8" t="s">
        <v>54</v>
      </c>
      <c r="F4" s="8" t="s">
        <v>55</v>
      </c>
      <c r="G4" s="8" t="s">
        <v>56</v>
      </c>
      <c r="H4" s="8" t="s">
        <v>58</v>
      </c>
      <c r="I4" s="8" t="s">
        <v>7</v>
      </c>
      <c r="J4" s="8"/>
    </row>
    <row r="5" spans="1:10" x14ac:dyDescent="0.25">
      <c r="A5" s="1" t="s">
        <v>8</v>
      </c>
      <c r="B5" s="2">
        <v>21</v>
      </c>
      <c r="C5" s="2" t="s">
        <v>71</v>
      </c>
      <c r="D5" s="1">
        <v>0.75</v>
      </c>
      <c r="E5" s="7">
        <f>G$2</f>
        <v>-9</v>
      </c>
      <c r="F5" s="1">
        <f>ROUND(D5/2^E5,0)</f>
        <v>384</v>
      </c>
      <c r="G5" s="1" t="str">
        <f>DEC2HEX(F5,4)</f>
        <v>0180</v>
      </c>
      <c r="H5" s="1">
        <f>F5*2^E5</f>
        <v>0.75</v>
      </c>
      <c r="I5" s="1" t="s">
        <v>9</v>
      </c>
    </row>
    <row r="6" spans="1:10" x14ac:dyDescent="0.25">
      <c r="A6" s="1" t="s">
        <v>13</v>
      </c>
      <c r="B6" s="2">
        <v>22</v>
      </c>
      <c r="C6" s="2" t="s">
        <v>71</v>
      </c>
      <c r="D6" s="1">
        <v>0</v>
      </c>
      <c r="E6" s="7">
        <f t="shared" ref="E6:E9" si="0">G$2</f>
        <v>-9</v>
      </c>
      <c r="F6" s="1">
        <f t="shared" ref="F6:F9" si="1">ROUND(D6/2^E6,0)</f>
        <v>0</v>
      </c>
      <c r="G6" s="1" t="str">
        <f t="shared" ref="G6:G9" si="2">DEC2HEX(F6,4)</f>
        <v>0000</v>
      </c>
      <c r="H6" s="1">
        <f t="shared" ref="H6:H9" si="3">F6*2^E6</f>
        <v>0</v>
      </c>
      <c r="I6" s="1" t="s">
        <v>9</v>
      </c>
    </row>
    <row r="7" spans="1:10" x14ac:dyDescent="0.25">
      <c r="A7" s="1" t="s">
        <v>14</v>
      </c>
      <c r="B7" s="2">
        <v>24</v>
      </c>
      <c r="C7" s="2" t="s">
        <v>71</v>
      </c>
      <c r="D7" s="1">
        <v>5.5</v>
      </c>
      <c r="E7" s="7">
        <f t="shared" si="0"/>
        <v>-9</v>
      </c>
      <c r="F7" s="1">
        <f t="shared" si="1"/>
        <v>2816</v>
      </c>
      <c r="G7" s="1" t="str">
        <f t="shared" si="2"/>
        <v>0B00</v>
      </c>
      <c r="H7" s="1">
        <f t="shared" si="3"/>
        <v>5.5</v>
      </c>
      <c r="I7" s="1" t="s">
        <v>9</v>
      </c>
    </row>
    <row r="8" spans="1:10" x14ac:dyDescent="0.25">
      <c r="A8" s="1" t="s">
        <v>16</v>
      </c>
      <c r="B8" s="2">
        <v>25</v>
      </c>
      <c r="C8" s="2" t="s">
        <v>71</v>
      </c>
      <c r="D8" s="1">
        <v>1.05</v>
      </c>
      <c r="E8" s="7">
        <f t="shared" si="0"/>
        <v>-9</v>
      </c>
      <c r="F8" s="1">
        <f t="shared" si="1"/>
        <v>538</v>
      </c>
      <c r="G8" s="1" t="str">
        <f t="shared" si="2"/>
        <v>021A</v>
      </c>
      <c r="H8" s="1">
        <f t="shared" si="3"/>
        <v>1.05078125</v>
      </c>
      <c r="I8" s="1" t="str">
        <f>IF(D$3=1,"%","V")</f>
        <v>%</v>
      </c>
    </row>
    <row r="9" spans="1:10" x14ac:dyDescent="0.25">
      <c r="A9" s="1" t="s">
        <v>15</v>
      </c>
      <c r="B9" s="2">
        <v>26</v>
      </c>
      <c r="C9" s="2" t="s">
        <v>71</v>
      </c>
      <c r="D9" s="1">
        <v>0.95</v>
      </c>
      <c r="E9" s="7">
        <f t="shared" si="0"/>
        <v>-9</v>
      </c>
      <c r="F9" s="1">
        <f t="shared" si="1"/>
        <v>486</v>
      </c>
      <c r="G9" s="1" t="str">
        <f t="shared" si="2"/>
        <v>01E6</v>
      </c>
      <c r="H9" s="1">
        <f t="shared" si="3"/>
        <v>0.94921875</v>
      </c>
      <c r="I9" s="1" t="str">
        <f>IF(D$3=1,"%","V")</f>
        <v>%</v>
      </c>
    </row>
    <row r="10" spans="1:10" x14ac:dyDescent="0.25">
      <c r="A10" s="1" t="s">
        <v>17</v>
      </c>
      <c r="B10" s="2">
        <v>27</v>
      </c>
      <c r="C10" s="2" t="s">
        <v>71</v>
      </c>
      <c r="D10" s="1">
        <v>1</v>
      </c>
      <c r="E10" s="1">
        <v>-4</v>
      </c>
      <c r="F10" s="1">
        <f>ROUND(D10/2^E10,0)</f>
        <v>16</v>
      </c>
      <c r="G10" s="1" t="str">
        <f>DEC2HEX(2048*(IF(E10&lt;0,32+(E10),E10))+F10)</f>
        <v>E010</v>
      </c>
      <c r="H10" s="1">
        <f>F10*2^E10</f>
        <v>1</v>
      </c>
      <c r="I10" s="1" t="s">
        <v>20</v>
      </c>
    </row>
    <row r="11" spans="1:10" x14ac:dyDescent="0.25">
      <c r="A11" s="1" t="s">
        <v>18</v>
      </c>
      <c r="B11" s="2">
        <v>29</v>
      </c>
      <c r="C11" s="2" t="s">
        <v>71</v>
      </c>
      <c r="D11" s="1">
        <v>0.125</v>
      </c>
      <c r="E11" s="1">
        <v>-3</v>
      </c>
      <c r="F11" s="1">
        <f>ROUND(D11/2^E11,0)</f>
        <v>1</v>
      </c>
      <c r="G11" s="1" t="str">
        <f>DEC2HEX(2048*(IF(E11&lt;0,32+(E11),E11))+F11)</f>
        <v>E801</v>
      </c>
      <c r="H11" s="1">
        <f>F11*2^E11</f>
        <v>0.125</v>
      </c>
      <c r="I11" s="1" t="s">
        <v>21</v>
      </c>
    </row>
    <row r="12" spans="1:10" x14ac:dyDescent="0.25">
      <c r="A12" s="1" t="s">
        <v>19</v>
      </c>
      <c r="B12" s="2" t="s">
        <v>72</v>
      </c>
      <c r="C12" s="2" t="s">
        <v>71</v>
      </c>
      <c r="D12" s="1">
        <v>0.5</v>
      </c>
      <c r="E12" s="7">
        <f t="shared" ref="E12" si="4">G$2</f>
        <v>-9</v>
      </c>
      <c r="F12" s="1">
        <f t="shared" ref="F12" si="5">ROUND(D12/2^E12,0)</f>
        <v>256</v>
      </c>
      <c r="G12" s="1" t="str">
        <f t="shared" ref="G12" si="6">DEC2HEX(F12,4)</f>
        <v>0100</v>
      </c>
      <c r="H12" s="1">
        <f t="shared" ref="H12" si="7">F12*2^E12</f>
        <v>0.5</v>
      </c>
      <c r="I12" s="1" t="s">
        <v>9</v>
      </c>
    </row>
    <row r="13" spans="1:10" x14ac:dyDescent="0.25">
      <c r="A13" s="1" t="s">
        <v>22</v>
      </c>
      <c r="B13" s="2">
        <v>33</v>
      </c>
      <c r="C13" s="2" t="s">
        <v>71</v>
      </c>
      <c r="D13" s="1">
        <v>550</v>
      </c>
      <c r="E13" s="1">
        <v>0</v>
      </c>
      <c r="F13" s="1">
        <f>ROUND(D13/2^E13,0)</f>
        <v>550</v>
      </c>
      <c r="G13" s="1" t="str">
        <f>DEC2HEX(2048*(IF(E13&lt;0,16-(E13),E13))+F13,4)</f>
        <v>0226</v>
      </c>
      <c r="H13" s="1">
        <f>F13*2^E13</f>
        <v>550</v>
      </c>
      <c r="I13" s="1" t="s">
        <v>27</v>
      </c>
    </row>
    <row r="14" spans="1:10" x14ac:dyDescent="0.25">
      <c r="A14" s="1" t="s">
        <v>23</v>
      </c>
      <c r="B14" s="2">
        <v>35</v>
      </c>
      <c r="C14" s="2" t="s">
        <v>71</v>
      </c>
      <c r="D14" s="1">
        <v>4.5</v>
      </c>
      <c r="E14" s="1">
        <v>-2</v>
      </c>
      <c r="F14" s="1">
        <f>ROUND(D14/2^E14,0)</f>
        <v>18</v>
      </c>
      <c r="G14" s="1" t="str">
        <f>DEC2HEX(2048*(IF(E14&lt;0,32+(E14),E14))+F14)</f>
        <v>F012</v>
      </c>
      <c r="H14" s="1">
        <f>F14*2^E14</f>
        <v>4.5</v>
      </c>
      <c r="I14" s="1" t="s">
        <v>9</v>
      </c>
    </row>
    <row r="15" spans="1:10" x14ac:dyDescent="0.25">
      <c r="A15" s="1" t="s">
        <v>24</v>
      </c>
      <c r="B15" s="2">
        <v>36</v>
      </c>
      <c r="C15" s="2" t="s">
        <v>71</v>
      </c>
      <c r="D15" s="1">
        <v>4.25</v>
      </c>
      <c r="E15" s="1">
        <v>-2</v>
      </c>
      <c r="F15" s="1">
        <f>ROUND(D15/2^E15,0)</f>
        <v>17</v>
      </c>
      <c r="G15" s="1" t="str">
        <f>DEC2HEX(2048*(IF(E15&lt;0,32+(E15),E15))+F15)</f>
        <v>F011</v>
      </c>
      <c r="H15" s="1">
        <f>F15*2^E15</f>
        <v>4.25</v>
      </c>
      <c r="I15" s="1" t="s">
        <v>9</v>
      </c>
    </row>
    <row r="16" spans="1:10" x14ac:dyDescent="0.25">
      <c r="A16" s="1" t="s">
        <v>25</v>
      </c>
      <c r="B16" s="2">
        <v>38</v>
      </c>
      <c r="C16" s="2" t="s">
        <v>71</v>
      </c>
      <c r="D16" s="1">
        <v>1</v>
      </c>
      <c r="E16" s="1">
        <v>-7</v>
      </c>
      <c r="F16" s="1">
        <f>ROUND(D16/2^E16,0)</f>
        <v>128</v>
      </c>
      <c r="G16" s="1" t="str">
        <f>DEC2HEX(2048*(IF(E16&lt;0,32+(E16),E16))+F16)</f>
        <v>C880</v>
      </c>
      <c r="H16" s="1">
        <f>F16*2^E16</f>
        <v>1</v>
      </c>
      <c r="I16" s="1" t="s">
        <v>59</v>
      </c>
    </row>
    <row r="17" spans="1:9" x14ac:dyDescent="0.25">
      <c r="A17" s="1" t="s">
        <v>26</v>
      </c>
      <c r="B17" s="2">
        <v>39</v>
      </c>
      <c r="C17" s="2" t="s">
        <v>71</v>
      </c>
      <c r="D17" s="1">
        <v>0</v>
      </c>
      <c r="E17" s="1">
        <v>-5</v>
      </c>
      <c r="F17" s="1">
        <f>ROUND(D17/2^E17,0)</f>
        <v>0</v>
      </c>
      <c r="G17" s="1" t="str">
        <f>DEC2HEX(2048*(IF(E17&lt;0,32+(E17),E17))+F17)</f>
        <v>D800</v>
      </c>
      <c r="H17" s="1">
        <f>F17*2^E17</f>
        <v>0</v>
      </c>
      <c r="I17" s="1" t="s">
        <v>11</v>
      </c>
    </row>
    <row r="18" spans="1:9" x14ac:dyDescent="0.25">
      <c r="A18" s="1" t="s">
        <v>29</v>
      </c>
      <c r="B18" s="2">
        <v>40</v>
      </c>
      <c r="C18" s="2" t="s">
        <v>71</v>
      </c>
      <c r="D18" s="1">
        <v>1.1499999999999999</v>
      </c>
      <c r="E18" s="7">
        <f t="shared" ref="E18:E20" si="8">G$2</f>
        <v>-9</v>
      </c>
      <c r="F18" s="1">
        <f t="shared" ref="F18:F21" si="9">ROUND(D18/2^E18,0)</f>
        <v>589</v>
      </c>
      <c r="G18" s="1" t="str">
        <f t="shared" ref="G18:G21" si="10">DEC2HEX(F18,4)</f>
        <v>024D</v>
      </c>
      <c r="H18" s="1">
        <f t="shared" ref="H18:H21" si="11">F18*2^E18</f>
        <v>1.150390625</v>
      </c>
      <c r="I18" s="1" t="str">
        <f>IF(D$3=1,"%","V")</f>
        <v>%</v>
      </c>
    </row>
    <row r="19" spans="1:9" x14ac:dyDescent="0.25">
      <c r="A19" s="1" t="s">
        <v>30</v>
      </c>
      <c r="B19" s="2">
        <v>42</v>
      </c>
      <c r="C19" s="2" t="s">
        <v>71</v>
      </c>
      <c r="D19" s="1">
        <v>1.1000000000000001</v>
      </c>
      <c r="E19" s="7">
        <f t="shared" si="8"/>
        <v>-9</v>
      </c>
      <c r="F19" s="1">
        <f t="shared" si="9"/>
        <v>563</v>
      </c>
      <c r="G19" s="1" t="str">
        <f t="shared" si="10"/>
        <v>0233</v>
      </c>
      <c r="H19" s="1">
        <f t="shared" si="11"/>
        <v>1.099609375</v>
      </c>
      <c r="I19" s="1" t="str">
        <f>IF(D$3=1,"%","V")</f>
        <v>%</v>
      </c>
    </row>
    <row r="20" spans="1:9" x14ac:dyDescent="0.25">
      <c r="A20" s="1" t="s">
        <v>31</v>
      </c>
      <c r="B20" s="2">
        <v>43</v>
      </c>
      <c r="C20" s="2" t="s">
        <v>71</v>
      </c>
      <c r="D20" s="1">
        <v>0.9</v>
      </c>
      <c r="E20" s="7">
        <f t="shared" si="8"/>
        <v>-9</v>
      </c>
      <c r="F20" s="1">
        <f t="shared" si="9"/>
        <v>461</v>
      </c>
      <c r="G20" s="1" t="str">
        <f t="shared" si="10"/>
        <v>01CD</v>
      </c>
      <c r="H20" s="1">
        <f t="shared" si="11"/>
        <v>0.900390625</v>
      </c>
      <c r="I20" s="1" t="str">
        <f>IF(D$3=1,"%","V")</f>
        <v>%</v>
      </c>
    </row>
    <row r="21" spans="1:9" x14ac:dyDescent="0.25">
      <c r="A21" s="1" t="s">
        <v>32</v>
      </c>
      <c r="B21" s="2">
        <v>44</v>
      </c>
      <c r="C21" s="2" t="s">
        <v>71</v>
      </c>
      <c r="D21" s="1">
        <v>0.85</v>
      </c>
      <c r="E21" s="30">
        <v>0</v>
      </c>
      <c r="F21" s="1">
        <f t="shared" si="9"/>
        <v>1</v>
      </c>
      <c r="G21" s="1" t="str">
        <f t="shared" si="10"/>
        <v>0001</v>
      </c>
      <c r="H21" s="1">
        <f t="shared" si="11"/>
        <v>1</v>
      </c>
      <c r="I21" s="1" t="str">
        <f>IF(D$3=1,"%","V")</f>
        <v>%</v>
      </c>
    </row>
    <row r="22" spans="1:9" x14ac:dyDescent="0.25">
      <c r="A22" s="1" t="s">
        <v>12</v>
      </c>
      <c r="B22" s="2">
        <v>46</v>
      </c>
      <c r="C22" s="2" t="s">
        <v>71</v>
      </c>
      <c r="D22" s="1">
        <v>60</v>
      </c>
      <c r="E22" s="1">
        <v>-2</v>
      </c>
      <c r="F22" s="1">
        <f t="shared" ref="F22:F30" si="12">ROUND(D22/2^E22,0)</f>
        <v>240</v>
      </c>
      <c r="G22" s="1" t="str">
        <f t="shared" ref="G22:G30" si="13">DEC2HEX(2048*(IF(E22&lt;0,32+(E22),E22))+F22)</f>
        <v>F0F0</v>
      </c>
      <c r="H22" s="1">
        <f t="shared" ref="H22:H30" si="14">F22*2^E22</f>
        <v>60</v>
      </c>
      <c r="I22" s="1" t="s">
        <v>11</v>
      </c>
    </row>
    <row r="23" spans="1:9" x14ac:dyDescent="0.25">
      <c r="A23" s="1" t="s">
        <v>33</v>
      </c>
      <c r="B23" s="2" t="s">
        <v>73</v>
      </c>
      <c r="C23" s="2" t="s">
        <v>71</v>
      </c>
      <c r="D23" s="1">
        <v>45</v>
      </c>
      <c r="E23" s="1">
        <v>-2</v>
      </c>
      <c r="F23" s="1">
        <f t="shared" si="12"/>
        <v>180</v>
      </c>
      <c r="G23" s="1" t="str">
        <f t="shared" si="13"/>
        <v>F0B4</v>
      </c>
      <c r="H23" s="1">
        <f t="shared" si="14"/>
        <v>45</v>
      </c>
      <c r="I23" s="1" t="s">
        <v>11</v>
      </c>
    </row>
    <row r="24" spans="1:9" x14ac:dyDescent="0.25">
      <c r="A24" s="1" t="s">
        <v>34</v>
      </c>
      <c r="B24" s="2" t="s">
        <v>74</v>
      </c>
      <c r="C24" s="2" t="s">
        <v>71</v>
      </c>
      <c r="D24" s="1">
        <v>150</v>
      </c>
      <c r="E24" s="1">
        <v>0</v>
      </c>
      <c r="F24" s="1">
        <f t="shared" si="12"/>
        <v>150</v>
      </c>
      <c r="G24" s="1" t="str">
        <f>DEC2HEX(2048*(IF(E24&lt;0,32+(E24),E24))+F24,4)</f>
        <v>0096</v>
      </c>
      <c r="H24" s="1">
        <f t="shared" si="14"/>
        <v>150</v>
      </c>
      <c r="I24" s="1" t="s">
        <v>11</v>
      </c>
    </row>
    <row r="25" spans="1:9" x14ac:dyDescent="0.25">
      <c r="A25" s="1" t="s">
        <v>35</v>
      </c>
      <c r="B25" s="2">
        <v>51</v>
      </c>
      <c r="C25" s="2" t="s">
        <v>71</v>
      </c>
      <c r="D25" s="1">
        <v>125</v>
      </c>
      <c r="E25" s="1">
        <v>0</v>
      </c>
      <c r="F25" s="1">
        <f t="shared" si="12"/>
        <v>125</v>
      </c>
      <c r="G25" s="1" t="str">
        <f>DEC2HEX(2048*(IF(E25&lt;0,32+(E25),E25))+F25,4)</f>
        <v>007D</v>
      </c>
      <c r="H25" s="1">
        <f t="shared" si="14"/>
        <v>125</v>
      </c>
      <c r="I25" s="1" t="s">
        <v>11</v>
      </c>
    </row>
    <row r="26" spans="1:9" x14ac:dyDescent="0.25">
      <c r="A26" s="1" t="s">
        <v>36</v>
      </c>
      <c r="B26" s="2">
        <v>60</v>
      </c>
      <c r="C26" s="2" t="s">
        <v>71</v>
      </c>
      <c r="D26" s="1">
        <v>0</v>
      </c>
      <c r="E26" s="1">
        <v>-1</v>
      </c>
      <c r="F26" s="1">
        <f t="shared" si="12"/>
        <v>0</v>
      </c>
      <c r="G26" s="1" t="str">
        <f t="shared" si="13"/>
        <v>F800</v>
      </c>
      <c r="H26" s="1">
        <f t="shared" si="14"/>
        <v>0</v>
      </c>
      <c r="I26" s="1" t="s">
        <v>41</v>
      </c>
    </row>
    <row r="27" spans="1:9" x14ac:dyDescent="0.25">
      <c r="A27" s="1" t="s">
        <v>37</v>
      </c>
      <c r="B27" s="2">
        <v>61</v>
      </c>
      <c r="C27" s="2" t="s">
        <v>71</v>
      </c>
      <c r="D27" s="1">
        <v>3</v>
      </c>
      <c r="E27" s="1">
        <v>-2</v>
      </c>
      <c r="F27" s="1">
        <f t="shared" si="12"/>
        <v>12</v>
      </c>
      <c r="G27" s="1" t="str">
        <f t="shared" si="13"/>
        <v>F00C</v>
      </c>
      <c r="H27" s="1">
        <f t="shared" si="14"/>
        <v>3</v>
      </c>
      <c r="I27" s="1" t="s">
        <v>41</v>
      </c>
    </row>
    <row r="28" spans="1:9" x14ac:dyDescent="0.25">
      <c r="A28" s="1" t="s">
        <v>38</v>
      </c>
      <c r="B28" s="2">
        <v>62</v>
      </c>
      <c r="C28" s="2" t="s">
        <v>71</v>
      </c>
      <c r="D28" s="1">
        <v>0</v>
      </c>
      <c r="E28" s="1">
        <v>-1</v>
      </c>
      <c r="F28" s="1">
        <f t="shared" si="12"/>
        <v>0</v>
      </c>
      <c r="G28" s="1" t="str">
        <f t="shared" si="13"/>
        <v>F800</v>
      </c>
      <c r="H28" s="1">
        <f t="shared" si="14"/>
        <v>0</v>
      </c>
      <c r="I28" s="1" t="s">
        <v>41</v>
      </c>
    </row>
    <row r="29" spans="1:9" x14ac:dyDescent="0.25">
      <c r="A29" s="1" t="s">
        <v>39</v>
      </c>
      <c r="B29" s="2">
        <v>64</v>
      </c>
      <c r="C29" s="2" t="s">
        <v>71</v>
      </c>
      <c r="D29" s="1">
        <v>0</v>
      </c>
      <c r="E29" s="1">
        <v>-2</v>
      </c>
      <c r="F29" s="1">
        <f t="shared" si="12"/>
        <v>0</v>
      </c>
      <c r="G29" s="1" t="str">
        <f t="shared" si="13"/>
        <v>F000</v>
      </c>
      <c r="H29" s="1">
        <f t="shared" si="14"/>
        <v>0</v>
      </c>
      <c r="I29" s="1" t="s">
        <v>41</v>
      </c>
    </row>
    <row r="30" spans="1:9" x14ac:dyDescent="0.25">
      <c r="A30" s="1" t="s">
        <v>40</v>
      </c>
      <c r="B30" s="2">
        <v>65</v>
      </c>
      <c r="C30" s="2" t="s">
        <v>71</v>
      </c>
      <c r="D30" s="1">
        <v>3</v>
      </c>
      <c r="E30" s="1">
        <v>-2</v>
      </c>
      <c r="F30" s="1">
        <f t="shared" si="12"/>
        <v>12</v>
      </c>
      <c r="G30" s="1" t="str">
        <f t="shared" si="13"/>
        <v>F00C</v>
      </c>
      <c r="H30" s="1">
        <f t="shared" si="14"/>
        <v>3</v>
      </c>
      <c r="I30" s="1" t="s">
        <v>41</v>
      </c>
    </row>
  </sheetData>
  <conditionalFormatting sqref="F5:F12">
    <cfRule type="cellIs" dxfId="4" priority="2" operator="greaterThan">
      <formula>"2^16-0.5"</formula>
    </cfRule>
    <cfRule type="cellIs" dxfId="3" priority="5" operator="greaterThan">
      <formula>"2^16-0.9"</formula>
    </cfRule>
  </conditionalFormatting>
  <conditionalFormatting sqref="F13:F17 F22:F30">
    <cfRule type="cellIs" dxfId="2" priority="3" operator="greaterThan">
      <formula>1023.5</formula>
    </cfRule>
    <cfRule type="cellIs" dxfId="1" priority="4" operator="greaterThan">
      <formula>"2^10-0.9"</formula>
    </cfRule>
  </conditionalFormatting>
  <conditionalFormatting sqref="F18:F21">
    <cfRule type="cellIs" dxfId="0" priority="1" operator="greaterThan">
      <formula>"2^16-0.5"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Ver_x002e_ xmlns="3c78f53b-1e1a-4bd0-bde5-8f4af4b526cf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B57CC44EE9C9449C2A26F40A8282C4" ma:contentTypeVersion="1" ma:contentTypeDescription="Create a new document." ma:contentTypeScope="" ma:versionID="b6ef5f7a1601679a84dbf06269006c08">
  <xsd:schema xmlns:xsd="http://www.w3.org/2001/XMLSchema" xmlns:xs="http://www.w3.org/2001/XMLSchema" xmlns:p="http://schemas.microsoft.com/office/2006/metadata/properties" xmlns:ns2="3c78f53b-1e1a-4bd0-bde5-8f4af4b526cf" targetNamespace="http://schemas.microsoft.com/office/2006/metadata/properties" ma:root="true" ma:fieldsID="02ecee3fe3ac56addc47ae9c7087b6a0" ns2:_="">
    <xsd:import namespace="3c78f53b-1e1a-4bd0-bde5-8f4af4b526cf"/>
    <xsd:element name="properties">
      <xsd:complexType>
        <xsd:sequence>
          <xsd:element name="documentManagement">
            <xsd:complexType>
              <xsd:all>
                <xsd:element ref="ns2:Ver_x002e_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8f53b-1e1a-4bd0-bde5-8f4af4b526cf" elementFormDefault="qualified">
    <xsd:import namespace="http://schemas.microsoft.com/office/2006/documentManagement/types"/>
    <xsd:import namespace="http://schemas.microsoft.com/office/infopath/2007/PartnerControls"/>
    <xsd:element name="Ver_x002e_" ma:index="8" ma:displayName="Ver." ma:description="Document version" ma:list="{3c78f53b-1e1a-4bd0-bde5-8f4af4b526cf}" ma:internalName="Ver_x002e_" ma:showField="_UIVersionString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51071F-A994-487B-A5EE-462BA86BD9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EA150F-5EE2-4DF7-AABB-C18FA2C2AB3C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c78f53b-1e1a-4bd0-bde5-8f4af4b526c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C44F75-D504-4A53-B093-69D199C67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78f53b-1e1a-4bd0-bde5-8f4af4b526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Directions</vt:lpstr>
      <vt:lpstr>Hex2Value</vt:lpstr>
      <vt:lpstr>Value2Hex</vt:lpstr>
    </vt:vector>
  </TitlesOfParts>
  <Company>Texas Instruments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Peter</dc:creator>
  <cp:lastModifiedBy>Miller, Peter</cp:lastModifiedBy>
  <dcterms:created xsi:type="dcterms:W3CDTF">2017-04-17T19:43:37Z</dcterms:created>
  <dcterms:modified xsi:type="dcterms:W3CDTF">2022-10-13T14:26:15Z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0x01010015B57CC44EE9C9449C2A26F40A8282C4</vt:lpwstr>
  </property>
</Properties>
</file>